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8"/>
  <workbookPr defaultThemeVersion="166925"/>
  <mc:AlternateContent xmlns:mc="http://schemas.openxmlformats.org/markup-compatibility/2006">
    <mc:Choice Requires="x15">
      <x15ac:absPath xmlns:x15ac="http://schemas.microsoft.com/office/spreadsheetml/2010/11/ac" url="C:\Users\KVykhristenko\Downloads\Calculators - Locked\"/>
    </mc:Choice>
  </mc:AlternateContent>
  <xr:revisionPtr revIDLastSave="0" documentId="13_ncr:1_{08D25046-C1FC-4F0F-BAB5-5478D92EA0DA}" xr6:coauthVersionLast="47" xr6:coauthVersionMax="47" xr10:uidLastSave="{00000000-0000-0000-0000-000000000000}"/>
  <bookViews>
    <workbookView xWindow="-4160" yWindow="-16320" windowWidth="4160" windowHeight="15840" tabRatio="828" xr2:uid="{00000000-000D-0000-FFFF-FFFF00000000}"/>
  </bookViews>
  <sheets>
    <sheet name="Solution-based" sheetId="19" r:id="rId1"/>
    <sheet name="Service-based" sheetId="1" r:id="rId2"/>
    <sheet name="Compute points" sheetId="7" r:id="rId3"/>
    <sheet name="Calculator -1 tier" sheetId="4" state="hidden" r:id="rId4"/>
    <sheet name="Calculator +1 tier" sheetId="5" state="hidden" r:id="rId5"/>
    <sheet name="Pricelist AUD" sheetId="8" r:id="rId6"/>
    <sheet name="Cloud DCs" sheetId="6" r:id="rId7"/>
    <sheet name="Instructions" sheetId="20" r:id="rId8"/>
  </sheets>
  <externalReferences>
    <externalReference r:id="rId9"/>
  </externalReferences>
  <definedNames>
    <definedName name="_xlnm._FilterDatabase" localSheetId="5" hidden="1">'Pricelist AUD'!$A$1:$O$116</definedName>
    <definedName name="min_commit" localSheetId="5">'Pricelist AUD'!$G$2:$M$2</definedName>
    <definedName name="min_commit">'Pricelist AUD'!$G$2:$M$2</definedName>
    <definedName name="T_1">'[1]Price List'!$E$2</definedName>
    <definedName name="T_2">'[1]Price List'!$F$2</definedName>
    <definedName name="T_3">'[1]Price List'!$G$2</definedName>
    <definedName name="T_4">'[1]Price List'!$H$2</definedName>
    <definedName name="T_5">'[1]Price List'!$I$2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1" l="1"/>
  <c r="F37" i="1"/>
  <c r="F36" i="1"/>
  <c r="L17" i="8"/>
  <c r="L16" i="8"/>
  <c r="L5" i="8"/>
  <c r="E2" i="19" l="1"/>
  <c r="E2" i="1"/>
  <c r="F9" i="7" l="1"/>
  <c r="E9" i="7"/>
  <c r="E5" i="7"/>
  <c r="F10" i="7"/>
  <c r="F11" i="7"/>
  <c r="F12" i="7"/>
  <c r="F5" i="7"/>
  <c r="F6" i="7"/>
  <c r="F7" i="7"/>
  <c r="E8" i="7"/>
  <c r="F8" i="7"/>
  <c r="E6" i="7"/>
  <c r="E7" i="7"/>
  <c r="E10" i="7"/>
  <c r="E11" i="7"/>
  <c r="E12" i="7"/>
  <c r="D13" i="7"/>
  <c r="E13" i="7" l="1"/>
  <c r="E28" i="19" s="1"/>
  <c r="C60" i="4" l="1"/>
  <c r="C61" i="4"/>
  <c r="C62" i="4"/>
  <c r="C63" i="4"/>
  <c r="C64" i="4"/>
  <c r="C59" i="4"/>
  <c r="D74" i="4"/>
  <c r="C74" i="4"/>
  <c r="D66" i="4"/>
  <c r="C66" i="4"/>
  <c r="D28" i="4"/>
  <c r="D27" i="4"/>
  <c r="D26" i="4"/>
  <c r="D25" i="4"/>
  <c r="D24" i="4"/>
  <c r="D23" i="4"/>
  <c r="C23" i="4"/>
  <c r="D22" i="4"/>
  <c r="C22" i="4"/>
  <c r="D21" i="4"/>
  <c r="C21" i="4"/>
  <c r="D20" i="4"/>
  <c r="C20" i="4"/>
  <c r="D19" i="4"/>
  <c r="C19" i="4"/>
  <c r="D18" i="4"/>
  <c r="C18" i="4"/>
  <c r="D17" i="4"/>
  <c r="C17" i="4"/>
  <c r="D16" i="4"/>
  <c r="C16" i="4"/>
  <c r="D15" i="4"/>
  <c r="C15" i="4"/>
  <c r="D14" i="4"/>
  <c r="C14" i="4"/>
  <c r="D13" i="4"/>
  <c r="C13" i="4"/>
  <c r="D12" i="4"/>
  <c r="C12" i="4"/>
  <c r="D11" i="4"/>
  <c r="C11" i="4"/>
  <c r="D10" i="4"/>
  <c r="C10" i="4"/>
  <c r="D9" i="4"/>
  <c r="C9" i="4"/>
  <c r="D8" i="4"/>
  <c r="C8" i="4"/>
  <c r="D7" i="4"/>
  <c r="C7" i="4"/>
  <c r="D6" i="4"/>
  <c r="C6" i="4"/>
  <c r="D5" i="4"/>
  <c r="C5" i="4"/>
  <c r="C64" i="5"/>
  <c r="C63" i="5"/>
  <c r="C68" i="5"/>
  <c r="D66" i="5"/>
  <c r="C66" i="5"/>
  <c r="D74" i="5"/>
  <c r="C74" i="5"/>
  <c r="D6" i="5" l="1"/>
  <c r="D7" i="5"/>
  <c r="D8" i="5"/>
  <c r="D9" i="5"/>
  <c r="D10" i="5"/>
  <c r="D11" i="5"/>
  <c r="D12" i="5"/>
  <c r="D13" i="5"/>
  <c r="D14" i="5"/>
  <c r="D15" i="5"/>
  <c r="D16" i="5"/>
  <c r="D17" i="5"/>
  <c r="D18" i="5"/>
  <c r="D19" i="5"/>
  <c r="D20" i="5"/>
  <c r="D21" i="5"/>
  <c r="D22" i="5"/>
  <c r="D23" i="5"/>
  <c r="D24" i="5"/>
  <c r="D25" i="5"/>
  <c r="D26" i="5"/>
  <c r="D27" i="5"/>
  <c r="D28" i="5"/>
  <c r="D5" i="5"/>
  <c r="C6" i="5"/>
  <c r="C7" i="5"/>
  <c r="C8" i="5"/>
  <c r="C9" i="5"/>
  <c r="C10" i="5"/>
  <c r="C11" i="5"/>
  <c r="C12" i="5"/>
  <c r="C13" i="5"/>
  <c r="C14" i="5"/>
  <c r="C15" i="5"/>
  <c r="C16" i="5"/>
  <c r="C17" i="5"/>
  <c r="C18" i="5"/>
  <c r="C19" i="5"/>
  <c r="C20" i="5"/>
  <c r="C21" i="5"/>
  <c r="C22" i="5"/>
  <c r="C23" i="5"/>
  <c r="C5" i="5"/>
  <c r="O48" i="8" l="1"/>
  <c r="O45" i="8"/>
  <c r="N119" i="8"/>
  <c r="L119" i="8"/>
  <c r="C27" i="19"/>
  <c r="C26" i="19"/>
  <c r="C25" i="19"/>
  <c r="O32" i="8"/>
  <c r="O34" i="8"/>
  <c r="O33" i="8"/>
  <c r="O31" i="8"/>
  <c r="O30" i="8"/>
  <c r="O26" i="8"/>
  <c r="O27" i="8"/>
  <c r="O28" i="8"/>
  <c r="O29" i="8"/>
  <c r="O21" i="8"/>
  <c r="O22" i="8"/>
  <c r="O23" i="8"/>
  <c r="O24" i="8"/>
  <c r="O25" i="8"/>
  <c r="O20" i="8"/>
  <c r="O14" i="8"/>
  <c r="O15" i="8"/>
  <c r="O16" i="8"/>
  <c r="O17" i="8"/>
  <c r="O18" i="8"/>
  <c r="O19" i="8"/>
  <c r="O7" i="8"/>
  <c r="O8" i="8"/>
  <c r="O9" i="8"/>
  <c r="O10" i="8"/>
  <c r="O11" i="8"/>
  <c r="O12" i="8"/>
  <c r="O13" i="8"/>
  <c r="O6" i="8"/>
  <c r="C24" i="4" l="1"/>
  <c r="C24" i="5"/>
  <c r="C25" i="4"/>
  <c r="C25" i="5"/>
  <c r="C26" i="4"/>
  <c r="C26" i="5"/>
  <c r="O5" i="8" l="1"/>
  <c r="O4" i="8"/>
  <c r="O3" i="8"/>
  <c r="F26" i="19" l="1"/>
  <c r="F27" i="19"/>
  <c r="F25" i="19"/>
  <c r="C29" i="19"/>
  <c r="C28" i="19"/>
  <c r="C27" i="4" l="1"/>
  <c r="C27" i="5"/>
  <c r="C28" i="4"/>
  <c r="C28" i="5"/>
  <c r="O65" i="8"/>
  <c r="O64" i="8"/>
  <c r="D79" i="5" l="1"/>
  <c r="D79" i="4"/>
  <c r="C79" i="4"/>
  <c r="C79" i="5"/>
  <c r="O92" i="8"/>
  <c r="C73" i="5" l="1"/>
  <c r="C73" i="4"/>
  <c r="O49" i="8"/>
  <c r="D54" i="4"/>
  <c r="C54" i="4"/>
  <c r="D53" i="4"/>
  <c r="C54" i="5"/>
  <c r="D54" i="5"/>
  <c r="O77" i="8" l="1"/>
  <c r="M119" i="8" l="1"/>
  <c r="K119" i="8"/>
  <c r="J119" i="8"/>
  <c r="I119" i="8"/>
  <c r="G119" i="8"/>
  <c r="O112" i="8" l="1"/>
  <c r="O110" i="8"/>
  <c r="O109" i="8"/>
  <c r="O107" i="8"/>
  <c r="O106" i="8"/>
  <c r="O105" i="8"/>
  <c r="O103" i="8"/>
  <c r="O101" i="8"/>
  <c r="O100" i="8"/>
  <c r="O99" i="8"/>
  <c r="O98" i="8"/>
  <c r="O96" i="8"/>
  <c r="O95" i="8"/>
  <c r="O94" i="8"/>
  <c r="O93" i="8"/>
  <c r="O91" i="8"/>
  <c r="O90" i="8"/>
  <c r="O89" i="8"/>
  <c r="O87" i="8"/>
  <c r="O86" i="8"/>
  <c r="O85" i="8"/>
  <c r="O84" i="8"/>
  <c r="O83" i="8"/>
  <c r="O82" i="8"/>
  <c r="O81" i="8"/>
  <c r="O80" i="8"/>
  <c r="O79" i="8"/>
  <c r="O78" i="8"/>
  <c r="O75" i="8"/>
  <c r="O73" i="8"/>
  <c r="O72" i="8"/>
  <c r="O71" i="8"/>
  <c r="O70" i="8"/>
  <c r="O68" i="8"/>
  <c r="O66" i="8"/>
  <c r="O63" i="8"/>
  <c r="O62" i="8"/>
  <c r="O61" i="8"/>
  <c r="O60" i="8"/>
  <c r="O59" i="8"/>
  <c r="O58" i="8"/>
  <c r="O57" i="8"/>
  <c r="O56" i="8"/>
  <c r="O54" i="8"/>
  <c r="O52" i="8"/>
  <c r="O51" i="8"/>
  <c r="O50" i="8"/>
  <c r="O47" i="8"/>
  <c r="O46" i="8"/>
  <c r="O44" i="8"/>
  <c r="O43" i="8"/>
  <c r="O42" i="8"/>
  <c r="O41" i="8"/>
  <c r="D82" i="4" l="1"/>
  <c r="D81" i="4"/>
  <c r="D80" i="4"/>
  <c r="D77" i="4"/>
  <c r="D76" i="4"/>
  <c r="D73" i="4"/>
  <c r="D68" i="4"/>
  <c r="D69" i="4"/>
  <c r="D70" i="4"/>
  <c r="D64" i="4"/>
  <c r="D63" i="4"/>
  <c r="D52" i="4"/>
  <c r="D51" i="4"/>
  <c r="D45" i="4"/>
  <c r="D44" i="4"/>
  <c r="D43" i="4"/>
  <c r="O108" i="8"/>
  <c r="O104" i="8"/>
  <c r="O88" i="8"/>
  <c r="O74" i="8"/>
  <c r="O69" i="8"/>
  <c r="O53" i="8"/>
  <c r="H119" i="8"/>
  <c r="D82" i="5"/>
  <c r="D81" i="5"/>
  <c r="D80" i="5"/>
  <c r="D77" i="5"/>
  <c r="D76" i="5"/>
  <c r="D75" i="5"/>
  <c r="D73" i="5"/>
  <c r="D72" i="5"/>
  <c r="D71" i="5"/>
  <c r="D70" i="5"/>
  <c r="D69" i="5"/>
  <c r="D68" i="5"/>
  <c r="D67" i="5"/>
  <c r="D65" i="5"/>
  <c r="D64" i="5"/>
  <c r="D63" i="5"/>
  <c r="D62" i="5"/>
  <c r="D61" i="5"/>
  <c r="D60" i="5"/>
  <c r="D59" i="5"/>
  <c r="D57" i="5"/>
  <c r="D56" i="5"/>
  <c r="D55" i="5"/>
  <c r="D53" i="5"/>
  <c r="D52" i="5"/>
  <c r="D51" i="5"/>
  <c r="D50" i="5"/>
  <c r="D49" i="5"/>
  <c r="D48" i="5"/>
  <c r="D47" i="5"/>
  <c r="D45" i="5"/>
  <c r="D44" i="5"/>
  <c r="D43" i="5"/>
  <c r="D42" i="5"/>
  <c r="D41" i="5"/>
  <c r="D40" i="5"/>
  <c r="D39" i="5"/>
  <c r="D38" i="5"/>
  <c r="D37" i="5"/>
  <c r="D36" i="5"/>
  <c r="D35" i="5"/>
  <c r="D34" i="5"/>
  <c r="D33" i="5"/>
  <c r="D32" i="5"/>
  <c r="D31" i="5"/>
  <c r="D30" i="5"/>
  <c r="D29" i="5"/>
  <c r="C82" i="5"/>
  <c r="C81" i="5"/>
  <c r="C80" i="5"/>
  <c r="C78" i="5"/>
  <c r="C77" i="5"/>
  <c r="C76" i="5"/>
  <c r="C75" i="5"/>
  <c r="C72" i="5"/>
  <c r="C71" i="5"/>
  <c r="C70" i="5"/>
  <c r="C69" i="5"/>
  <c r="C67" i="5"/>
  <c r="C65" i="5"/>
  <c r="C62" i="5"/>
  <c r="C61" i="5"/>
  <c r="C60" i="5"/>
  <c r="C59" i="5"/>
  <c r="C57" i="5"/>
  <c r="C56" i="5"/>
  <c r="C55" i="5"/>
  <c r="C53" i="5"/>
  <c r="C52" i="5"/>
  <c r="C51" i="5"/>
  <c r="C50" i="5"/>
  <c r="C49" i="5"/>
  <c r="C48" i="5"/>
  <c r="C47" i="5"/>
  <c r="C45" i="5"/>
  <c r="C44" i="5"/>
  <c r="C43" i="5"/>
  <c r="C42" i="5"/>
  <c r="C41" i="5"/>
  <c r="C40" i="5"/>
  <c r="C39" i="5"/>
  <c r="C38" i="5"/>
  <c r="C37" i="5"/>
  <c r="C36" i="5"/>
  <c r="C35" i="5"/>
  <c r="C34" i="5"/>
  <c r="C33" i="5"/>
  <c r="C32" i="5"/>
  <c r="C31" i="5"/>
  <c r="C29" i="5"/>
  <c r="D3" i="19" l="1"/>
  <c r="D3" i="1"/>
  <c r="F20" i="1" l="1"/>
  <c r="F55" i="1"/>
  <c r="F12" i="1"/>
  <c r="F31" i="1"/>
  <c r="F40" i="1"/>
  <c r="F17" i="1"/>
  <c r="F24" i="1"/>
  <c r="F9" i="1"/>
  <c r="G9" i="1" s="1"/>
  <c r="F34" i="1"/>
  <c r="F14" i="1"/>
  <c r="G14" i="1" s="1"/>
  <c r="F49" i="1"/>
  <c r="G49" i="1" s="1"/>
  <c r="F7" i="1"/>
  <c r="F42" i="1"/>
  <c r="F10" i="1"/>
  <c r="G10" i="1" s="1"/>
  <c r="F13" i="1"/>
  <c r="G13" i="1" s="1"/>
  <c r="F25" i="1"/>
  <c r="F30" i="1"/>
  <c r="F28" i="1"/>
  <c r="F27" i="1"/>
  <c r="F54" i="1"/>
  <c r="F8" i="1"/>
  <c r="F48" i="1"/>
  <c r="G48" i="1" s="1"/>
  <c r="F35" i="1"/>
  <c r="G35" i="1" s="1"/>
  <c r="F43" i="1"/>
  <c r="G43" i="1" s="1"/>
  <c r="F33" i="1"/>
  <c r="F57" i="1"/>
  <c r="F53" i="1"/>
  <c r="F23" i="1"/>
  <c r="F52" i="1"/>
  <c r="F46" i="1"/>
  <c r="G46" i="1" s="1"/>
  <c r="F32" i="1"/>
  <c r="F22" i="1"/>
  <c r="F6" i="1"/>
  <c r="F19" i="1"/>
  <c r="F15" i="1"/>
  <c r="F50" i="1"/>
  <c r="F21" i="1"/>
  <c r="F16" i="1"/>
  <c r="F11" i="1"/>
  <c r="F44" i="1"/>
  <c r="G44" i="1" s="1"/>
  <c r="F51" i="1"/>
  <c r="F18" i="1"/>
  <c r="F26" i="1"/>
  <c r="F45" i="1"/>
  <c r="G45" i="1" s="1"/>
  <c r="F29" i="1"/>
  <c r="F58" i="1"/>
  <c r="F41" i="1"/>
  <c r="F39" i="1"/>
  <c r="F61" i="1"/>
  <c r="F62" i="1"/>
  <c r="F64" i="1"/>
  <c r="F59" i="1"/>
  <c r="F60" i="1"/>
  <c r="F28" i="19"/>
  <c r="G28" i="19" s="1"/>
  <c r="A2" i="4"/>
  <c r="D2" i="4" s="1"/>
  <c r="A2" i="5"/>
  <c r="D2" i="5" s="1"/>
  <c r="F23" i="19"/>
  <c r="G23" i="19" s="1"/>
  <c r="G27" i="19"/>
  <c r="G25" i="19"/>
  <c r="G26" i="19"/>
  <c r="F21" i="19"/>
  <c r="G21" i="19" s="1"/>
  <c r="F29" i="19"/>
  <c r="G29" i="19" s="1"/>
  <c r="F22" i="19"/>
  <c r="G22" i="19" s="1"/>
  <c r="F7" i="19"/>
  <c r="G7" i="19" s="1"/>
  <c r="F8" i="19"/>
  <c r="G8" i="19" s="1"/>
  <c r="F6" i="19"/>
  <c r="G6" i="19" s="1"/>
  <c r="G8" i="1"/>
  <c r="D38" i="4"/>
  <c r="E38" i="4" s="1"/>
  <c r="E66" i="5" l="1"/>
  <c r="E74" i="5"/>
  <c r="E20" i="5"/>
  <c r="F20" i="5" s="1"/>
  <c r="E6" i="5"/>
  <c r="F6" i="5" s="1"/>
  <c r="E7" i="5"/>
  <c r="F7" i="5" s="1"/>
  <c r="E27" i="5"/>
  <c r="F27" i="5" s="1"/>
  <c r="E22" i="5"/>
  <c r="F22" i="5" s="1"/>
  <c r="E25" i="5"/>
  <c r="F25" i="5" s="1"/>
  <c r="E5" i="5"/>
  <c r="F5" i="5" s="1"/>
  <c r="E26" i="5"/>
  <c r="F26" i="5" s="1"/>
  <c r="E24" i="5"/>
  <c r="F24" i="5" s="1"/>
  <c r="E21" i="5"/>
  <c r="F21" i="5" s="1"/>
  <c r="E28" i="5"/>
  <c r="F28" i="5" s="1"/>
  <c r="E79" i="5"/>
  <c r="E54" i="5"/>
  <c r="E29" i="5"/>
  <c r="F29" i="5" s="1"/>
  <c r="E30" i="5"/>
  <c r="E31" i="5"/>
  <c r="E32" i="5"/>
  <c r="E33" i="5"/>
  <c r="E34" i="5"/>
  <c r="E36" i="5"/>
  <c r="E38" i="5"/>
  <c r="E39" i="5"/>
  <c r="E40" i="5"/>
  <c r="E42" i="5"/>
  <c r="E44" i="5"/>
  <c r="E45" i="5"/>
  <c r="E48" i="5"/>
  <c r="E49" i="5"/>
  <c r="E50" i="5"/>
  <c r="E52" i="5"/>
  <c r="E53" i="5"/>
  <c r="E55" i="5"/>
  <c r="E56" i="5"/>
  <c r="E57" i="5"/>
  <c r="E59" i="5"/>
  <c r="E60" i="5"/>
  <c r="E61" i="5"/>
  <c r="E62" i="5"/>
  <c r="E63" i="5"/>
  <c r="E64" i="5"/>
  <c r="E65" i="5"/>
  <c r="E67" i="5"/>
  <c r="E68" i="5"/>
  <c r="E69" i="5"/>
  <c r="E70" i="5"/>
  <c r="E71" i="5"/>
  <c r="E72" i="5"/>
  <c r="E73" i="5"/>
  <c r="E75" i="5"/>
  <c r="E77" i="5"/>
  <c r="E80" i="5"/>
  <c r="E81" i="5"/>
  <c r="E82" i="5"/>
  <c r="E7" i="4"/>
  <c r="F7" i="4" s="1"/>
  <c r="E26" i="4"/>
  <c r="F26" i="4" s="1"/>
  <c r="E5" i="4"/>
  <c r="F5" i="4" s="1"/>
  <c r="E27" i="4"/>
  <c r="F27" i="4" s="1"/>
  <c r="E25" i="4"/>
  <c r="F25" i="4" s="1"/>
  <c r="E6" i="4"/>
  <c r="F6" i="4" s="1"/>
  <c r="E28" i="4"/>
  <c r="F28" i="4" s="1"/>
  <c r="E20" i="4"/>
  <c r="F20" i="4" s="1"/>
  <c r="E24" i="4"/>
  <c r="F24" i="4" s="1"/>
  <c r="E22" i="4"/>
  <c r="F22" i="4" s="1"/>
  <c r="E21" i="4"/>
  <c r="F21" i="4" s="1"/>
  <c r="E66" i="4"/>
  <c r="E74" i="4"/>
  <c r="E79" i="4"/>
  <c r="E53" i="4"/>
  <c r="E54" i="4"/>
  <c r="E44" i="4"/>
  <c r="E45" i="4"/>
  <c r="E52" i="4"/>
  <c r="E63" i="4"/>
  <c r="E64" i="4"/>
  <c r="E70" i="4"/>
  <c r="E69" i="4"/>
  <c r="E68" i="4"/>
  <c r="E73" i="4"/>
  <c r="E77" i="4"/>
  <c r="E80" i="4"/>
  <c r="E81" i="4"/>
  <c r="E82" i="4"/>
  <c r="D56" i="4"/>
  <c r="E56" i="4" s="1"/>
  <c r="D57" i="4"/>
  <c r="E57" i="4" s="1"/>
  <c r="D55" i="4" l="1"/>
  <c r="E55" i="4" s="1"/>
  <c r="D72" i="4"/>
  <c r="E72" i="4" s="1"/>
  <c r="D75" i="4" l="1"/>
  <c r="E75" i="4" s="1"/>
  <c r="D30" i="4" l="1"/>
  <c r="E30" i="4" s="1"/>
  <c r="C37" i="7" l="1"/>
  <c r="E36" i="7"/>
  <c r="D36" i="7"/>
  <c r="E35" i="7"/>
  <c r="D35" i="7"/>
  <c r="E34" i="7"/>
  <c r="D34" i="7"/>
  <c r="E33" i="7"/>
  <c r="D33" i="7"/>
  <c r="E32" i="7"/>
  <c r="D32" i="7"/>
  <c r="E31" i="7"/>
  <c r="D31" i="7"/>
  <c r="E30" i="7"/>
  <c r="D30" i="7"/>
  <c r="E29" i="7"/>
  <c r="D29" i="7"/>
  <c r="C13" i="7"/>
  <c r="E37" i="7" l="1"/>
  <c r="D37" i="7"/>
  <c r="D38" i="7" s="1"/>
  <c r="F13" i="7"/>
  <c r="E47" i="1" s="1"/>
  <c r="F47" i="1" s="1"/>
  <c r="D35" i="4"/>
  <c r="E38" i="7" l="1"/>
  <c r="D78" i="5"/>
  <c r="E78" i="5" s="1"/>
  <c r="D78" i="4"/>
  <c r="E78" i="4" s="1"/>
  <c r="G47" i="1"/>
  <c r="C89" i="5"/>
  <c r="C87" i="5"/>
  <c r="C86" i="5"/>
  <c r="C85" i="5"/>
  <c r="C84" i="5"/>
  <c r="D3" i="5" l="1"/>
  <c r="D48" i="4"/>
  <c r="E48" i="4" s="1"/>
  <c r="E9" i="5" l="1"/>
  <c r="F9" i="5" s="1"/>
  <c r="E23" i="5"/>
  <c r="F23" i="5" s="1"/>
  <c r="E16" i="5"/>
  <c r="F16" i="5" s="1"/>
  <c r="E41" i="5"/>
  <c r="E35" i="5"/>
  <c r="E47" i="5"/>
  <c r="E15" i="5"/>
  <c r="F15" i="5" s="1"/>
  <c r="E12" i="5"/>
  <c r="F12" i="5" s="1"/>
  <c r="E19" i="5"/>
  <c r="F19" i="5" s="1"/>
  <c r="E11" i="5"/>
  <c r="F11" i="5" s="1"/>
  <c r="E51" i="5"/>
  <c r="E43" i="5"/>
  <c r="E18" i="5"/>
  <c r="F18" i="5" s="1"/>
  <c r="E76" i="5"/>
  <c r="E37" i="5"/>
  <c r="E13" i="5"/>
  <c r="F13" i="5" s="1"/>
  <c r="E10" i="5"/>
  <c r="F10" i="5" s="1"/>
  <c r="E14" i="5"/>
  <c r="F14" i="5" s="1"/>
  <c r="E8" i="5"/>
  <c r="F8" i="5" s="1"/>
  <c r="E17" i="5"/>
  <c r="F17" i="5" s="1"/>
  <c r="D32" i="4"/>
  <c r="E32" i="4" s="1"/>
  <c r="D71" i="4" l="1"/>
  <c r="E71" i="4" s="1"/>
  <c r="D89" i="5" l="1"/>
  <c r="E89" i="5" s="1"/>
  <c r="D87" i="5"/>
  <c r="E87" i="5" s="1"/>
  <c r="D86" i="5"/>
  <c r="E86" i="5" s="1"/>
  <c r="D85" i="5"/>
  <c r="E85" i="5" s="1"/>
  <c r="D84" i="5"/>
  <c r="E84" i="5" s="1"/>
  <c r="D89" i="4"/>
  <c r="E89" i="4" s="1"/>
  <c r="D87" i="4"/>
  <c r="D86" i="4"/>
  <c r="E86" i="4" s="1"/>
  <c r="D85" i="4"/>
  <c r="E85" i="4" s="1"/>
  <c r="D84" i="4"/>
  <c r="D67" i="4"/>
  <c r="E67" i="4" s="1"/>
  <c r="D65" i="4"/>
  <c r="E65" i="4" s="1"/>
  <c r="D62" i="4"/>
  <c r="E62" i="4" s="1"/>
  <c r="D61" i="4"/>
  <c r="E61" i="4" s="1"/>
  <c r="D60" i="4"/>
  <c r="E60" i="4" s="1"/>
  <c r="D59" i="4"/>
  <c r="E59" i="4" s="1"/>
  <c r="D50" i="4"/>
  <c r="E50" i="4" s="1"/>
  <c r="D49" i="4"/>
  <c r="E49" i="4" s="1"/>
  <c r="D47" i="4"/>
  <c r="D42" i="4"/>
  <c r="E42" i="4" s="1"/>
  <c r="D41" i="4"/>
  <c r="D40" i="4"/>
  <c r="E40" i="4" s="1"/>
  <c r="D39" i="4"/>
  <c r="E39" i="4" s="1"/>
  <c r="D37" i="4"/>
  <c r="D36" i="4"/>
  <c r="E36" i="4" s="1"/>
  <c r="D34" i="4"/>
  <c r="E34" i="4" s="1"/>
  <c r="D33" i="4"/>
  <c r="E33" i="4" s="1"/>
  <c r="F33" i="4" s="1"/>
  <c r="D31" i="4"/>
  <c r="E31" i="4" s="1"/>
  <c r="F31" i="4" s="1"/>
  <c r="D29" i="4"/>
  <c r="E29" i="4" s="1"/>
  <c r="F79" i="4" l="1"/>
  <c r="F79" i="5" l="1"/>
  <c r="F73" i="4"/>
  <c r="F53" i="4"/>
  <c r="F54" i="5"/>
  <c r="F67" i="5"/>
  <c r="F68" i="5"/>
  <c r="F54" i="4"/>
  <c r="F68" i="4"/>
  <c r="F66" i="4"/>
  <c r="F89" i="5"/>
  <c r="F40" i="5"/>
  <c r="F32" i="5"/>
  <c r="F81" i="5"/>
  <c r="F76" i="5"/>
  <c r="F72" i="5"/>
  <c r="F59" i="5"/>
  <c r="F53" i="5"/>
  <c r="F43" i="5"/>
  <c r="F84" i="5"/>
  <c r="F78" i="5"/>
  <c r="F74" i="5"/>
  <c r="F70" i="5"/>
  <c r="F61" i="5"/>
  <c r="F56" i="5"/>
  <c r="F51" i="5"/>
  <c r="F47" i="5"/>
  <c r="F39" i="5"/>
  <c r="F31" i="5"/>
  <c r="F87" i="5"/>
  <c r="F38" i="5"/>
  <c r="F30" i="5"/>
  <c r="F82" i="5"/>
  <c r="F77" i="5"/>
  <c r="F73" i="5"/>
  <c r="F69" i="5"/>
  <c r="F64" i="5"/>
  <c r="F60" i="5"/>
  <c r="F55" i="5"/>
  <c r="F50" i="5"/>
  <c r="F45" i="5"/>
  <c r="F37" i="5"/>
  <c r="F86" i="5"/>
  <c r="F44" i="5"/>
  <c r="F36" i="5"/>
  <c r="F42" i="5"/>
  <c r="F34" i="5"/>
  <c r="F85" i="5"/>
  <c r="F80" i="5"/>
  <c r="F75" i="5"/>
  <c r="F71" i="5"/>
  <c r="F62" i="5"/>
  <c r="F57" i="5"/>
  <c r="F52" i="5"/>
  <c r="F48" i="5"/>
  <c r="F41" i="5"/>
  <c r="F33" i="5"/>
  <c r="F63" i="5"/>
  <c r="F49" i="5"/>
  <c r="F35" i="5"/>
  <c r="F78" i="4"/>
  <c r="F52" i="4"/>
  <c r="F69" i="4"/>
  <c r="F44" i="4"/>
  <c r="F75" i="4"/>
  <c r="F38" i="4"/>
  <c r="F45" i="4"/>
  <c r="G26" i="1"/>
  <c r="G38" i="1"/>
  <c r="G37" i="1"/>
  <c r="G52" i="1"/>
  <c r="G7" i="1"/>
  <c r="G23" i="1"/>
  <c r="G25" i="1"/>
  <c r="G57" i="1"/>
  <c r="G29" i="1"/>
  <c r="G31" i="1"/>
  <c r="G60" i="1"/>
  <c r="G36" i="1"/>
  <c r="G51" i="1"/>
  <c r="G62" i="1"/>
  <c r="G41" i="1"/>
  <c r="G24" i="1"/>
  <c r="G6" i="1"/>
  <c r="G42" i="1"/>
  <c r="G53" i="1"/>
  <c r="G33" i="1"/>
  <c r="G27" i="1"/>
  <c r="G22" i="1"/>
  <c r="G21" i="1"/>
  <c r="G16" i="1"/>
  <c r="G19" i="1"/>
  <c r="G39" i="1"/>
  <c r="G17" i="1"/>
  <c r="G64" i="1"/>
  <c r="G58" i="1"/>
  <c r="G61" i="1"/>
  <c r="G30" i="1"/>
  <c r="G54" i="1"/>
  <c r="G28" i="1"/>
  <c r="G12" i="1"/>
  <c r="G15" i="1"/>
  <c r="G34" i="1"/>
  <c r="G40" i="1"/>
  <c r="G11" i="1"/>
  <c r="G50" i="1"/>
  <c r="G18" i="1"/>
  <c r="G55" i="1"/>
  <c r="G20" i="1"/>
  <c r="G32" i="1"/>
  <c r="G59" i="1"/>
  <c r="G65" i="1" l="1"/>
  <c r="F65" i="5"/>
  <c r="F66" i="5"/>
  <c r="F57" i="4"/>
  <c r="F56" i="4"/>
  <c r="F49" i="4"/>
  <c r="F63" i="4"/>
  <c r="F65" i="4"/>
  <c r="F40" i="4"/>
  <c r="F42" i="4"/>
  <c r="F36" i="4"/>
  <c r="F50" i="4"/>
  <c r="F59" i="4"/>
  <c r="F72" i="4"/>
  <c r="F77" i="4"/>
  <c r="F48" i="4"/>
  <c r="F30" i="4"/>
  <c r="F70" i="4"/>
  <c r="F82" i="4"/>
  <c r="F71" i="4"/>
  <c r="F39" i="4"/>
  <c r="F85" i="4"/>
  <c r="F55" i="4"/>
  <c r="F80" i="4"/>
  <c r="F34" i="4"/>
  <c r="F61" i="4"/>
  <c r="F32" i="4"/>
  <c r="F64" i="4"/>
  <c r="F67" i="4"/>
  <c r="F60" i="4"/>
  <c r="F62" i="4"/>
  <c r="F74" i="4"/>
  <c r="F81" i="4"/>
  <c r="F86" i="4"/>
  <c r="F89" i="4"/>
  <c r="F29" i="4"/>
  <c r="F90" i="5" l="1"/>
  <c r="G31" i="19"/>
  <c r="F91" i="5" l="1"/>
  <c r="F92" i="5" l="1"/>
  <c r="F4" i="19"/>
  <c r="F24" i="19"/>
  <c r="G24" i="19" s="1"/>
  <c r="D3" i="4" l="1"/>
  <c r="E9" i="4" s="1"/>
  <c r="F9" i="4" s="1"/>
  <c r="F19" i="19"/>
  <c r="G19" i="19" s="1"/>
  <c r="F9" i="19"/>
  <c r="G9" i="19" s="1"/>
  <c r="F15" i="19"/>
  <c r="G15" i="19" s="1"/>
  <c r="F17" i="19"/>
  <c r="G17" i="19" s="1"/>
  <c r="F11" i="19"/>
  <c r="G11" i="19" s="1"/>
  <c r="F4" i="1"/>
  <c r="E84" i="4"/>
  <c r="F84" i="4" s="1"/>
  <c r="E12" i="4"/>
  <c r="F12" i="4" s="1"/>
  <c r="E19" i="4"/>
  <c r="F19" i="4" s="1"/>
  <c r="F16" i="19"/>
  <c r="G16" i="19" s="1"/>
  <c r="F20" i="19"/>
  <c r="G20" i="19" s="1"/>
  <c r="E10" i="4"/>
  <c r="F10" i="4" s="1"/>
  <c r="F18" i="19"/>
  <c r="G18" i="19" s="1"/>
  <c r="E23" i="4"/>
  <c r="F23" i="4" s="1"/>
  <c r="F14" i="19"/>
  <c r="G14" i="19" s="1"/>
  <c r="F10" i="19"/>
  <c r="G10" i="19" s="1"/>
  <c r="E37" i="4"/>
  <c r="F37" i="4" s="1"/>
  <c r="F13" i="19"/>
  <c r="G13" i="19" s="1"/>
  <c r="F12" i="19"/>
  <c r="G12" i="19" s="1"/>
  <c r="E51" i="4" l="1"/>
  <c r="F51" i="4" s="1"/>
  <c r="E8" i="4"/>
  <c r="F8" i="4" s="1"/>
  <c r="E18" i="4"/>
  <c r="F18" i="4" s="1"/>
  <c r="E41" i="4"/>
  <c r="F41" i="4" s="1"/>
  <c r="E76" i="4"/>
  <c r="F76" i="4" s="1"/>
  <c r="E16" i="4"/>
  <c r="F16" i="4" s="1"/>
  <c r="E35" i="4"/>
  <c r="F35" i="4" s="1"/>
  <c r="E47" i="4"/>
  <c r="F47" i="4" s="1"/>
  <c r="E11" i="4"/>
  <c r="F11" i="4" s="1"/>
  <c r="E15" i="4"/>
  <c r="F15" i="4" s="1"/>
  <c r="E87" i="4"/>
  <c r="F87" i="4" s="1"/>
  <c r="E14" i="4"/>
  <c r="F14" i="4" s="1"/>
  <c r="E13" i="4"/>
  <c r="F13" i="4" s="1"/>
  <c r="E43" i="4"/>
  <c r="F43" i="4" s="1"/>
  <c r="E17" i="4"/>
  <c r="F17" i="4" s="1"/>
  <c r="G30" i="19"/>
  <c r="G32" i="19" s="1"/>
  <c r="G33" i="19" s="1"/>
  <c r="G34" i="19" s="1"/>
  <c r="F90" i="4" l="1"/>
  <c r="F91" i="4" s="1"/>
  <c r="F92" i="4" s="1"/>
  <c r="G66" i="1"/>
  <c r="G67" i="1" s="1"/>
  <c r="G68" i="1" s="1"/>
  <c r="G69" i="1" s="1"/>
  <c r="F3" i="19" l="1"/>
  <c r="F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Kostiantyn Vykhristenko</author>
  </authors>
  <commentList>
    <comment ref="C6" authorId="0" shapeId="0" xr:uid="{94F85FD4-ED1A-483F-93B1-941842EB43F3}">
      <text>
        <r>
          <rPr>
            <b/>
            <sz val="9"/>
            <color indexed="81"/>
            <rFont val="Tahoma"/>
            <family val="2"/>
            <charset val="204"/>
          </rPr>
          <t>Includes:
1 - Anti-ransomware, antimalware
2 - Detection and Response (EDR, XDR)
3 - RMM</t>
        </r>
      </text>
    </comment>
    <comment ref="C7" authorId="0" shapeId="0" xr:uid="{96294DB0-44AE-4CF6-9EA6-508A3110A0F3}">
      <text>
        <r>
          <rPr>
            <b/>
            <sz val="9"/>
            <color indexed="81"/>
            <rFont val="Tahoma"/>
            <family val="2"/>
            <charset val="204"/>
          </rPr>
          <t>Includes:
1 - Email Security
2 - Security Posture Management</t>
        </r>
      </text>
    </comment>
    <comment ref="C8" authorId="0" shapeId="0" xr:uid="{FD202BD9-6B37-43F6-B18E-DDB242ED6F62}">
      <text>
        <r>
          <rPr>
            <b/>
            <sz val="9"/>
            <color indexed="81"/>
            <rFont val="Tahoma"/>
            <family val="2"/>
            <charset val="204"/>
          </rPr>
          <t>Includes:
1 - Email Security</t>
        </r>
        <r>
          <rPr>
            <sz val="9"/>
            <color indexed="81"/>
            <rFont val="Tahoma"/>
            <family val="2"/>
            <charset val="204"/>
          </rPr>
          <t xml:space="preserve">
</t>
        </r>
      </text>
    </comment>
    <comment ref="C9" authorId="0" shapeId="0" xr:uid="{31F0760C-BD20-40DC-8B32-DF956C035212}">
      <text>
        <r>
          <rPr>
            <b/>
            <sz val="9"/>
            <color indexed="81"/>
            <rFont val="Tahoma"/>
            <family val="2"/>
            <charset val="204"/>
          </rPr>
          <t>Includes:
1 - Backup of Server
2 - Disaster Recovery (per workload license, compute points and IP addresses are not included)
3 - 3 TB of Acronis Hosted Cloud Storage</t>
        </r>
        <r>
          <rPr>
            <sz val="9"/>
            <color indexed="81"/>
            <rFont val="Tahoma"/>
            <family val="2"/>
            <charset val="204"/>
          </rPr>
          <t xml:space="preserve">
</t>
        </r>
      </text>
    </comment>
    <comment ref="C10" authorId="0" shapeId="0" xr:uid="{0077C22E-2B51-4CCB-8CA2-8735CEF401A9}">
      <text>
        <r>
          <rPr>
            <b/>
            <sz val="9"/>
            <color indexed="81"/>
            <rFont val="Tahoma"/>
            <family val="2"/>
            <charset val="204"/>
          </rPr>
          <t>Includes:
1 - Backup of VM
2 - Disaster Recovery (per workload license, compute points and IP addresses are not included)
3 - 2 TB of Acronis Hosted Cloud Storage</t>
        </r>
        <r>
          <rPr>
            <sz val="9"/>
            <color indexed="81"/>
            <rFont val="Tahoma"/>
            <family val="2"/>
            <charset val="204"/>
          </rPr>
          <t xml:space="preserve">
</t>
        </r>
      </text>
    </comment>
    <comment ref="C11" authorId="0" shapeId="0" xr:uid="{71A5EAFD-5110-4141-B812-BB489A1739BD}">
      <text>
        <r>
          <rPr>
            <b/>
            <sz val="9"/>
            <color indexed="81"/>
            <rFont val="Tahoma"/>
            <family val="2"/>
            <charset val="204"/>
          </rPr>
          <t>Includes:
1 - Backup of Workstation
2 - 300 GB of Acronis Hosted Cloud Storage</t>
        </r>
        <r>
          <rPr>
            <sz val="9"/>
            <color indexed="81"/>
            <rFont val="Tahoma"/>
            <family val="2"/>
            <charset val="204"/>
          </rPr>
          <t xml:space="preserve">
</t>
        </r>
      </text>
    </comment>
    <comment ref="C12" authorId="0" shapeId="0" xr:uid="{2CCFE236-155B-4095-9B66-715835021DB1}">
      <text>
        <r>
          <rPr>
            <b/>
            <sz val="9"/>
            <color indexed="81"/>
            <rFont val="Tahoma"/>
            <family val="2"/>
            <charset val="204"/>
          </rPr>
          <t>Includes:
1 - Microsoft 365 Backup
2 - Microsoft 365 Email Archiving
3 - Unlimited Acronis Hosted Cloud Storage</t>
        </r>
        <r>
          <rPr>
            <sz val="9"/>
            <color indexed="81"/>
            <rFont val="Tahoma"/>
            <family val="2"/>
            <charset val="204"/>
          </rPr>
          <t xml:space="preserve">
</t>
        </r>
      </text>
    </comment>
    <comment ref="C13" authorId="0" shapeId="0" xr:uid="{64E66ADA-AF26-401C-8E42-2EA82677F883}">
      <text>
        <r>
          <rPr>
            <b/>
            <sz val="9"/>
            <color indexed="81"/>
            <rFont val="Tahoma"/>
            <family val="2"/>
            <charset val="204"/>
          </rPr>
          <t>Includes:
1 - Google Workspace Backup
2 - Unlimited Acronis Hosted Cloud Storage</t>
        </r>
        <r>
          <rPr>
            <sz val="9"/>
            <color indexed="81"/>
            <rFont val="Tahoma"/>
            <family val="2"/>
            <charset val="204"/>
          </rPr>
          <t xml:space="preserve">
</t>
        </r>
      </text>
    </comment>
    <comment ref="C14" authorId="0" shapeId="0" xr:uid="{D74C9216-109D-4519-B8C4-96901E4EF420}">
      <text>
        <r>
          <rPr>
            <b/>
            <sz val="9"/>
            <color indexed="81"/>
            <rFont val="Tahoma"/>
            <family val="2"/>
            <charset val="204"/>
          </rPr>
          <t>Includes:
1. Website Backup
2. 50 GB of Acronis Hosted Cloud Storage</t>
        </r>
      </text>
    </comment>
    <comment ref="C15" authorId="0" shapeId="0" xr:uid="{C6114CB8-0F83-4A0F-84C2-15D9184F0394}">
      <text>
        <r>
          <rPr>
            <b/>
            <sz val="9"/>
            <color indexed="81"/>
            <rFont val="Tahoma"/>
            <family val="2"/>
            <charset val="204"/>
          </rPr>
          <t>Includes:
1. Website Backup
2. 50 GB of Acronis Hosted Cloud Storage</t>
        </r>
      </text>
    </comment>
    <comment ref="C16" authorId="0" shapeId="0" xr:uid="{5CF8A5AC-C141-4CF0-AF89-2B13ACCAFC68}">
      <text>
        <r>
          <rPr>
            <b/>
            <sz val="9"/>
            <color indexed="81"/>
            <rFont val="Tahoma"/>
            <family val="2"/>
            <charset val="204"/>
          </rPr>
          <t>Includes:
1 - Backup of Server
2 - Disaster Recovery (per workload license, compute points and IP addresses are not included)
3 - 3 TB of Acronis Hosted Cloud Storage
4 - Advanced Backup
5 - Anti-ransomware, antimalware
6 - Detection and Response (EDR, XDR)
7 - Remote Management and Monitoring
8 - Data Loss Prevention</t>
        </r>
      </text>
    </comment>
    <comment ref="C17" authorId="0" shapeId="0" xr:uid="{A73BDAAE-00DF-49FB-A0CC-978F786F7977}">
      <text>
        <r>
          <rPr>
            <b/>
            <sz val="9"/>
            <color indexed="81"/>
            <rFont val="Tahoma"/>
            <family val="2"/>
            <charset val="204"/>
          </rPr>
          <t>Includes:
1 - Backup of VM
2 - Disaster Recovery (per workload license, compute points and IP addresses are not included)
3 - 2 TB of Acronis Hosted Cloud Storage
4 - Advanced Backup
5 - Anti-ransomware, antimalware
6 - Detection and Response (EDR, XDR)
7 - Remote Management and Monitoring
8 - Data Loss Prevention</t>
        </r>
      </text>
    </comment>
    <comment ref="C18" authorId="0" shapeId="0" xr:uid="{24B1A2CC-7C1E-4E31-BA0A-FDD5DFBAF4A3}">
      <text>
        <r>
          <rPr>
            <b/>
            <sz val="9"/>
            <color indexed="81"/>
            <rFont val="Tahoma"/>
            <family val="2"/>
            <charset val="204"/>
          </rPr>
          <t>Includes:
1 - Backup of Workstation
2 - 300 GB of Acronis Hosted Cloud Storage
3 - Advanced Backup
4 - Anti-ransomware, antimalware
5 - Detection and Response (EDR, XDR)
6 - Remote Management and Monitoring
7 - Data Loss Prevention</t>
        </r>
      </text>
    </comment>
    <comment ref="C19" authorId="0" shapeId="0" xr:uid="{423A4933-E26E-46D2-AD4A-41FD84A5D502}">
      <text>
        <r>
          <rPr>
            <b/>
            <sz val="9"/>
            <color indexed="81"/>
            <rFont val="Tahoma"/>
            <family val="2"/>
            <charset val="204"/>
          </rPr>
          <t>Includes:
1 - Microsoft 365 Backup
2 - Unlimited Acronis Hosted Cloud Storage
3 - Advanced backup
4 - Microsoft 365 Email Archiving
5 - Email Security
6 - Colaboration Security
7 - Security Posture Management</t>
        </r>
      </text>
    </comment>
    <comment ref="C20" authorId="0" shapeId="0" xr:uid="{248B046F-753D-4DE8-B6CF-7C85533E80C2}">
      <text>
        <r>
          <rPr>
            <b/>
            <sz val="9"/>
            <color indexed="81"/>
            <rFont val="Tahoma"/>
            <family val="2"/>
            <charset val="204"/>
          </rPr>
          <t>Includes:
1 - Google Workspace Backup
2 - Unlimited Acronis Hosted Cloud Storage
3 - Advanced backup
4 - Email Security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Laura Suzana Scorei</author>
    <author>Kostiantyn Vykhristenko</author>
  </authors>
  <commentList>
    <comment ref="B17" authorId="0" shapeId="0" xr:uid="{6880A333-EC7D-4C6F-B108-111EDCC1704A}">
      <text>
        <r>
          <rPr>
            <sz val="9"/>
            <color indexed="81"/>
            <rFont val="Tahoma"/>
            <family val="2"/>
            <charset val="238"/>
          </rPr>
          <t>Includes unlimited usage for Service Provider Hosted and local storage</t>
        </r>
      </text>
    </comment>
    <comment ref="C22" authorId="0" shapeId="0" xr:uid="{78F6FD8A-7F2F-42FD-A4B2-0F77F7863A6B}">
      <text>
        <r>
          <rPr>
            <sz val="9"/>
            <color indexed="81"/>
            <rFont val="Tahoma"/>
            <family val="2"/>
            <charset val="238"/>
          </rPr>
          <t>Plesk, cPanel, DirectAdmin, Virtualmin, ISPmanager control panels installed.</t>
        </r>
      </text>
    </comment>
    <comment ref="C24" authorId="0" shapeId="0" xr:uid="{AD56097F-589A-4D85-81E2-E8787CB82359}">
      <text>
        <r>
          <rPr>
            <sz val="9"/>
            <color indexed="81"/>
            <rFont val="Tahoma"/>
            <family val="2"/>
            <charset val="238"/>
          </rPr>
          <t>Azure and Google Hosted Storage are not included into the price. This cloud storage usage will be billed separately.</t>
        </r>
      </text>
    </comment>
    <comment ref="C26" authorId="0" shapeId="0" xr:uid="{8A03B5F5-69B4-4D6C-BC33-5EC12495668A}">
      <text>
        <r>
          <rPr>
            <sz val="9"/>
            <color indexed="81"/>
            <rFont val="Tahoma"/>
            <family val="2"/>
            <charset val="238"/>
          </rPr>
          <t>Azure and Google Hosted Storage are not included into the price. This cloud storage usage will be billed separately.</t>
        </r>
      </text>
    </comment>
    <comment ref="C35" authorId="1" shapeId="0" xr:uid="{9C074DB7-E170-4A51-A17D-C37E5160D512}">
      <text>
        <r>
          <rPr>
            <b/>
            <sz val="10"/>
            <color indexed="81"/>
            <rFont val="Tahoma"/>
            <family val="2"/>
            <charset val="204"/>
          </rPr>
          <t>&lt;&lt;Microsoft 365 Backup Storage&gt;&gt;</t>
        </r>
        <r>
          <rPr>
            <sz val="10"/>
            <color indexed="81"/>
            <rFont val="Tahoma"/>
            <family val="2"/>
            <charset val="204"/>
          </rPr>
          <t xml:space="preserve">
Backup storage provided by Microsoft in their DC. Billed per GB, available for both Per GB and Per Workload models</t>
        </r>
      </text>
    </comment>
    <comment ref="C51" authorId="0" shapeId="0" xr:uid="{BF51EEFA-6318-4AAB-87CF-AFCAAA4EC6A7}">
      <text>
        <r>
          <rPr>
            <sz val="9"/>
            <color indexed="81"/>
            <rFont val="Tahoma"/>
            <family val="2"/>
            <charset val="238"/>
          </rPr>
          <t>Azure and Google Hosted Storage are not included into the price. This cloud storage usage will be billed separately.</t>
        </r>
      </text>
    </comment>
    <comment ref="C58" authorId="0" shapeId="0" xr:uid="{45F10A4C-DEE1-4526-ADF5-698599DD6B8B}">
      <text>
        <r>
          <rPr>
            <sz val="9"/>
            <color indexed="81"/>
            <rFont val="Tahoma"/>
            <family val="2"/>
            <charset val="238"/>
          </rPr>
          <t>In case of using SP Hosted Storage, partner will be charged for Acronis Cyber Infrastructure, too</t>
        </r>
      </text>
    </comment>
    <comment ref="C59" authorId="0" shapeId="0" xr:uid="{6510D87B-2336-4D68-8AA8-F1A9A4ECEE72}">
      <text>
        <r>
          <rPr>
            <sz val="9"/>
            <color indexed="81"/>
            <rFont val="Tahoma"/>
            <family val="2"/>
            <charset val="238"/>
          </rPr>
          <t>In case of using SP Hosted Storage, partner will be charged for Acronis Cyber Infrastructure, too</t>
        </r>
      </text>
    </comment>
    <comment ref="C64" authorId="0" shapeId="0" xr:uid="{E180AF47-0E8C-4E51-827A-03AC7966EDC2}">
      <text>
        <r>
          <rPr>
            <sz val="9"/>
            <color indexed="81"/>
            <rFont val="Tahoma"/>
            <family val="2"/>
            <charset val="238"/>
          </rPr>
          <t>Main cases when we charge for this item (Acronis Cyber Infrastructure):
 - iSCSI storage usage (e.g. datastore for VMware vSphere and Microsoft Hiper-V)
 - S3 storage usage (e.g. S3 object storage for Acronis Cyber Files Cloud or 3rd party backup solution in Client own data center using Acronis Cyber Infrastructure)
 - NFS storage usage (e.g File share)</t>
        </r>
      </text>
    </comment>
  </commentList>
</comments>
</file>

<file path=xl/sharedStrings.xml><?xml version="1.0" encoding="utf-8"?>
<sst xmlns="http://schemas.openxmlformats.org/spreadsheetml/2006/main" count="950" uniqueCount="561">
  <si>
    <t>Solution-based Licensing</t>
  </si>
  <si>
    <t xml:space="preserve">1. Choose Minimum commitment: </t>
  </si>
  <si>
    <r>
      <t xml:space="preserve">2. Choose </t>
    </r>
    <r>
      <rPr>
        <b/>
        <u/>
        <sz val="12"/>
        <color theme="0"/>
        <rFont val="Arial"/>
        <family val="2"/>
      </rPr>
      <t>Datacenter Group</t>
    </r>
    <r>
      <rPr>
        <b/>
        <sz val="12"/>
        <color theme="0"/>
        <rFont val="Arial"/>
        <family val="2"/>
      </rPr>
      <t xml:space="preserve">: </t>
    </r>
  </si>
  <si>
    <t>G1</t>
  </si>
  <si>
    <t>3. Input data for endpoints to be protected (Base Edition):</t>
  </si>
  <si>
    <t>Stand-alone capabilities</t>
  </si>
  <si>
    <t>Quantity</t>
  </si>
  <si>
    <t>Price per unit (monthly)</t>
  </si>
  <si>
    <t>Total cost</t>
  </si>
  <si>
    <t>Security + RMM</t>
  </si>
  <si>
    <t># Endpoint Security (Servers, VMs, Workstations)</t>
  </si>
  <si>
    <t>Yes</t>
  </si>
  <si>
    <t># Microsoft 365 Security</t>
  </si>
  <si>
    <t># Google Workspace Security</t>
  </si>
  <si>
    <t>Backup + DR</t>
  </si>
  <si>
    <t># BDR Server (3 TB of Acronis Hosted Storage included)</t>
  </si>
  <si>
    <t># BDR Virtual Machine (2 TB of Acronis Hosted Storage included)</t>
  </si>
  <si>
    <t># BDR Workstation (300 GB of Acronis Hosted Storage included)</t>
  </si>
  <si>
    <t># Microsoft 365 Backup + Archiving (unlimited Acronis Hosted Cloud Storage included*)</t>
  </si>
  <si>
    <t># Google Workspace Backup (unlimited Acronis Hosted Cloud Storage included*)</t>
  </si>
  <si>
    <t># Website Backup (50 GB of Acronis Hosted Storage included)</t>
  </si>
  <si>
    <t># Mobile Backup (50 GB od Acronis Hosted Storage included)</t>
  </si>
  <si>
    <t>Ultimate Protection</t>
  </si>
  <si>
    <t># Ultimate Server (3 TB of Acronis Hosted Storage included)</t>
  </si>
  <si>
    <t># Ultimate Virtual Machine (2 TB of Acronis Hosted Storage included)</t>
  </si>
  <si>
    <t># Ultimate Workstation (300 GB of Acronis Hosted Storage included)</t>
  </si>
  <si>
    <t># Ultimate Microsoft 365 (unlimited Acronis Hosted Cloud Storage included*)</t>
  </si>
  <si>
    <t># Ultimate Google Workspace (unlimited Acronis Hosted Cloud Storage included*)</t>
  </si>
  <si>
    <t>Managed Detection and Response</t>
  </si>
  <si>
    <t># Standard MDR Workloads for Base Licensing (Servers, VMs, Workstations, Hosting Servers)</t>
  </si>
  <si>
    <t>Requires Security+RMM or Ultimate Protection</t>
  </si>
  <si>
    <t># Advanced MDR Workloads for Base Licensing (Servers, VMs, Workstations, Hosting Servers)</t>
  </si>
  <si>
    <t>Security Awareness Training</t>
  </si>
  <si>
    <t># Security Awareness Training for Solution-based Licensing (Users)</t>
  </si>
  <si>
    <t xml:space="preserve">Additional Storage </t>
  </si>
  <si>
    <t>Acronis Cloud Storage at Acronis Datacenter (for Solution-based Licensing overages)</t>
  </si>
  <si>
    <t>Requires BDR or Ultimate Protection</t>
  </si>
  <si>
    <t>Geo-replication</t>
  </si>
  <si>
    <t>Disaster Recovery Infrastructure</t>
  </si>
  <si>
    <t>Solution-based licensing Monthly cost</t>
  </si>
  <si>
    <t>Service-based licensing Monthly cost</t>
  </si>
  <si>
    <t>Total monthly cost (no commitment applied)</t>
  </si>
  <si>
    <t>Monthly cost</t>
  </si>
  <si>
    <t>Yearly cost</t>
  </si>
  <si>
    <t>Service-based Licensing</t>
  </si>
  <si>
    <t>3. Input data for endpoints and storage to be protected (Custom Edition):</t>
  </si>
  <si>
    <t>Endpoint Security</t>
  </si>
  <si>
    <t># Endpoint Detection and Response (EDR) Workloads (Servers, VMs, Workstations, Hosting Servers)</t>
  </si>
  <si>
    <t># Extended Detection and Response (XDR) Workloads (Servers, VMs, Workstations, Hosting Servers)</t>
  </si>
  <si>
    <t># Managed Detection and Response Workloads - Standard (Servers, VMs, Workstations, Hosting Servers)</t>
  </si>
  <si>
    <t>Requires Advanced Security+EDR/XDR</t>
  </si>
  <si>
    <t># Managed Detection and Response Workloads - Advanced (Servers, VMs, Workstations, Hosting Servers)</t>
  </si>
  <si>
    <t># Data Loss Prevention Workloads (Servers, VMs, Workstations, Hosting Servers)</t>
  </si>
  <si>
    <t>SaaS Security</t>
  </si>
  <si>
    <t># Email Security Users</t>
  </si>
  <si>
    <t># Collaboration Security Users</t>
  </si>
  <si>
    <t># SaaS Security Posture Management Workloads (Microsoft 365 Seats)</t>
  </si>
  <si>
    <t># Security Awareness Training (Users)</t>
  </si>
  <si>
    <t>RMM</t>
  </si>
  <si>
    <t># Remote Monitoring and Management (RMM) Workloads (Servers, VMs, Workstations, Hosting Servers)</t>
  </si>
  <si>
    <t>PSA</t>
  </si>
  <si>
    <t># Professional Services Automation (PSA) users (3 minimum)</t>
  </si>
  <si>
    <t>Backup</t>
  </si>
  <si>
    <t xml:space="preserve"> Per Workload
</t>
  </si>
  <si>
    <t># Physical Servers</t>
  </si>
  <si>
    <t># Network Attached Storage</t>
  </si>
  <si>
    <t># Virtual Machines</t>
  </si>
  <si>
    <t># vCloud Director Virtual Machines</t>
  </si>
  <si>
    <t># Workstations</t>
  </si>
  <si>
    <t># Hosting Servers</t>
  </si>
  <si>
    <t># Microsoft 365 Seats (unlimited Acronis Hosted Cloud Storage included*)</t>
  </si>
  <si>
    <t># Microsoft 365 Seats (for SP/Customer/Azure/Google Hosted Storage)</t>
  </si>
  <si>
    <t># Google Workspace Seats (unlimited Acronis Hosted Cloud Storage included*)</t>
  </si>
  <si>
    <t>#  Google Workspace Seats (for SP/Azure/Google Hosted Storage)</t>
  </si>
  <si>
    <t># Mobile Devices</t>
  </si>
  <si>
    <t># Websites</t>
  </si>
  <si>
    <t>Acronis Cloud Storage at Acronis Datacenter (for Per Workload model)</t>
  </si>
  <si>
    <t>Acronis Cloud Storage at Azure/Google datacenters (for Per Workload model)</t>
  </si>
  <si>
    <t xml:space="preserve"> Per GB</t>
  </si>
  <si>
    <t>Acronis Cloud Storage at Acronis Datacenter (for Per GB model)</t>
  </si>
  <si>
    <t>Acronis Cloud Storage at Azure/Google datacenters (for Per GB model)</t>
  </si>
  <si>
    <t>Cloud - Service Provider Hosted Storage</t>
  </si>
  <si>
    <t>Customer Storage</t>
  </si>
  <si>
    <t>Microsoft 365 Backup from Microsoft</t>
  </si>
  <si>
    <t>Microsoft 365 Backup Storage powered by Microsoft (per GB, for both per GB and per workload models)</t>
  </si>
  <si>
    <t>Per GB/Workload model - Backup Geo-redundant - Acronis Hosted Storage</t>
  </si>
  <si>
    <t>Requires Backup</t>
  </si>
  <si>
    <t>Per Workload model - # Geo-redundant Microsoft 365 seat (unlimited Acronis Hosted Cloud Storage included*)</t>
  </si>
  <si>
    <t>Per Workload model - # Geo-redundant Google Workspace seat (unlimited Acronis Hosted Cloud Storage included*)</t>
  </si>
  <si>
    <t>Advanced Backup</t>
  </si>
  <si>
    <t># Advanced Backup Physical Servers</t>
  </si>
  <si>
    <t># Advanced Backup Virtual Machines</t>
  </si>
  <si>
    <t># Advanced Backup Workstations</t>
  </si>
  <si>
    <t># Advanced Backup Hosting Servers</t>
  </si>
  <si>
    <t># Advanced Backup Microsoft 365 seats</t>
  </si>
  <si>
    <t># Advanced Backup Google Workspace seats</t>
  </si>
  <si>
    <t>Disaster Recovery</t>
  </si>
  <si>
    <t>Disaster Recovery Cloud Storage - Acronis Hosted</t>
  </si>
  <si>
    <t>Disaster Recovery Cloud Storage - Service Provider Hosted</t>
  </si>
  <si>
    <t>Monthly Compute Point Consumption (tests)</t>
  </si>
  <si>
    <t>Public IPs</t>
  </si>
  <si>
    <t># DR and Direct Backup to Azure workloads</t>
  </si>
  <si>
    <t>Email Archiving</t>
  </si>
  <si>
    <t>Per workload</t>
  </si>
  <si>
    <t># Microsoft 365 Archiving Seats (with unlimited Acronis Hosted Cloud storage*)</t>
  </si>
  <si>
    <t># Microsoft 365 Archiving Seats (for SP/Azure/Google Hosted storage)</t>
  </si>
  <si>
    <t>Acronis Cloud Storage for Email Archiving at Azure/Google datacenters (for Per Workload model)</t>
  </si>
  <si>
    <t>Per GB</t>
  </si>
  <si>
    <t>Acronis Cloud Storage for Email Archiving at Acronis Datacenter (for Per GB model)</t>
  </si>
  <si>
    <t>Email Archiving Cloud Storage  - Service Provider Hosted</t>
  </si>
  <si>
    <t>Acronis Cloud Storage for Email Archiving at Azure/Google datacenters (for Per GB model)</t>
  </si>
  <si>
    <t>4. Input data for Files Sync &amp; Share</t>
  </si>
  <si>
    <t>Acronis Cyber 
Files Cloud</t>
  </si>
  <si>
    <t>Cyber Files Cloud Acronis Hosted Storage</t>
  </si>
  <si>
    <t>Cyber Files Cloud Service Provider Hosted Storage</t>
  </si>
  <si>
    <t>Per User</t>
  </si>
  <si>
    <t># of Cyber Files Users</t>
  </si>
  <si>
    <t xml:space="preserve"> Cyber Files Cloud Acronis Hosted Storage</t>
  </si>
  <si>
    <t>-</t>
  </si>
  <si>
    <t># of Advanced FSS eSignatures (per eSignature)</t>
  </si>
  <si>
    <t>Requires Files Sync &amp; Share</t>
  </si>
  <si>
    <t># of Advanced FSS Notarizations (per file)</t>
  </si>
  <si>
    <t>5. Input data for Acronis Cyber Infrastructure</t>
  </si>
  <si>
    <t>Acronis Cyber Infrastructure</t>
  </si>
  <si>
    <t>Storage Required for S3/iSCSI/NFS/Compute (Per GB)</t>
  </si>
  <si>
    <t>This section of the calculator helps to estimate the number of compute points required for tests with the default settings.</t>
  </si>
  <si>
    <t>Fill in the number of servers of each configuration template that will be used during Disaster Recovery. It is recommended to choose a configuration template of higher or equal specifications of the original server. I.e. if a server has 4 CPU and 8 GB of RAM - the closest template with a higher configuration is 4 vCore and 16 GB of RAM</t>
  </si>
  <si>
    <t>Server Template</t>
  </si>
  <si>
    <t>Compute Points per hour</t>
  </si>
  <si>
    <r>
      <rPr>
        <sz val="11"/>
        <color rgb="FF000000"/>
        <rFont val="Calibri"/>
        <family val="2"/>
        <charset val="204"/>
        <scheme val="minor"/>
      </rPr>
      <t xml:space="preserve">Number of servers </t>
    </r>
    <r>
      <rPr>
        <b/>
        <sz val="11"/>
        <color rgb="FF000000"/>
        <rFont val="Calibri"/>
        <family val="2"/>
        <charset val="204"/>
        <scheme val="minor"/>
      </rPr>
      <t>(Solution-based licensing)</t>
    </r>
  </si>
  <si>
    <r>
      <rPr>
        <sz val="11"/>
        <color rgb="FF000000"/>
        <rFont val="Calibri"/>
        <family val="2"/>
        <charset val="204"/>
        <scheme val="minor"/>
      </rPr>
      <t xml:space="preserve">Number of servers </t>
    </r>
    <r>
      <rPr>
        <b/>
        <sz val="11"/>
        <color rgb="FF000000"/>
        <rFont val="Calibri"/>
        <family val="2"/>
        <charset val="204"/>
        <scheme val="minor"/>
      </rPr>
      <t>(Service-based licensing)</t>
    </r>
  </si>
  <si>
    <r>
      <rPr>
        <u/>
        <sz val="11"/>
        <color rgb="FF000000"/>
        <rFont val="Calibri"/>
        <family val="2"/>
        <charset val="204"/>
        <scheme val="minor"/>
      </rPr>
      <t>Monthly</t>
    </r>
    <r>
      <rPr>
        <sz val="11"/>
        <color rgb="FF000000"/>
        <rFont val="Calibri"/>
        <family val="2"/>
        <charset val="204"/>
        <scheme val="minor"/>
      </rPr>
      <t xml:space="preserve"> Compute Points for Disaster Recovery Tests </t>
    </r>
    <r>
      <rPr>
        <b/>
        <sz val="11"/>
        <color rgb="FF000000"/>
        <rFont val="Calibri"/>
        <family val="2"/>
        <charset val="204"/>
        <scheme val="minor"/>
      </rPr>
      <t>(Solution-based licensing)</t>
    </r>
  </si>
  <si>
    <r>
      <rPr>
        <u/>
        <sz val="11"/>
        <color rgb="FF000000"/>
        <rFont val="Calibri"/>
        <family val="2"/>
        <charset val="204"/>
        <scheme val="minor"/>
      </rPr>
      <t>Monthly</t>
    </r>
    <r>
      <rPr>
        <sz val="11"/>
        <color rgb="FF000000"/>
        <rFont val="Calibri"/>
        <family val="2"/>
        <charset val="204"/>
        <scheme val="minor"/>
      </rPr>
      <t xml:space="preserve"> Compute Points for Disaster Recovery Tests</t>
    </r>
    <r>
      <rPr>
        <b/>
        <sz val="11"/>
        <color rgb="FF000000"/>
        <rFont val="Calibri"/>
        <family val="2"/>
        <charset val="204"/>
        <scheme val="minor"/>
      </rPr>
      <t xml:space="preserve"> (Service-based licensing)</t>
    </r>
  </si>
  <si>
    <t>1 vCore, 2 GB RAM</t>
  </si>
  <si>
    <t>1 vCore, 4 GB RAM</t>
  </si>
  <si>
    <t>2 vCore, 8 GB RAM</t>
  </si>
  <si>
    <t>4 vCore, 16 GB RAM</t>
  </si>
  <si>
    <t>8 vCore, 32 GB RAM</t>
  </si>
  <si>
    <t>16 vCore, 64 GB RAM</t>
  </si>
  <si>
    <t>16 vCore, 128 GB RAM</t>
  </si>
  <si>
    <t>16 vCore, 256 GB RAM</t>
  </si>
  <si>
    <t>Totals:</t>
  </si>
  <si>
    <t>Default options:</t>
  </si>
  <si>
    <t>Number of tests per month</t>
  </si>
  <si>
    <t>Running time per failover test (hours)</t>
  </si>
  <si>
    <t>Advanced settings: compute points required for actual Disaster Recovery situations</t>
  </si>
  <si>
    <t>Time to recovert from Disaster - how much downtime is expected during a disaster scenario. How much time it will take replace faulty/destroyed hardware, install it on site and restore data recommended minimum - 7 days.</t>
  </si>
  <si>
    <t>Time to recover from server failure (days)</t>
  </si>
  <si>
    <t xml:space="preserve">Number of servers </t>
  </si>
  <si>
    <r>
      <rPr>
        <b/>
        <sz val="11"/>
        <rFont val="Calibri"/>
        <family val="2"/>
        <charset val="204"/>
        <scheme val="minor"/>
      </rPr>
      <t xml:space="preserve">Projected </t>
    </r>
    <r>
      <rPr>
        <b/>
        <sz val="11"/>
        <color theme="1"/>
        <rFont val="Calibri"/>
        <family val="2"/>
        <scheme val="minor"/>
      </rPr>
      <t xml:space="preserve">compute points for </t>
    </r>
    <r>
      <rPr>
        <b/>
        <u/>
        <sz val="11"/>
        <color theme="1"/>
        <rFont val="Calibri"/>
        <family val="2"/>
        <charset val="204"/>
        <scheme val="minor"/>
      </rPr>
      <t>1 day</t>
    </r>
    <r>
      <rPr>
        <b/>
        <sz val="11"/>
        <color theme="1"/>
        <rFont val="Calibri"/>
        <family val="2"/>
        <scheme val="minor"/>
      </rPr>
      <t xml:space="preserve"> of </t>
    </r>
    <r>
      <rPr>
        <b/>
        <u/>
        <sz val="11"/>
        <color theme="1"/>
        <rFont val="Calibri"/>
        <family val="2"/>
        <charset val="204"/>
        <scheme val="minor"/>
      </rPr>
      <t>actual Disaster Recovery</t>
    </r>
  </si>
  <si>
    <r>
      <rPr>
        <b/>
        <u/>
        <sz val="11"/>
        <rFont val="Calibri"/>
        <family val="2"/>
        <charset val="204"/>
        <scheme val="minor"/>
      </rPr>
      <t>Total</t>
    </r>
    <r>
      <rPr>
        <b/>
        <sz val="11"/>
        <rFont val="Calibri"/>
        <family val="2"/>
        <charset val="204"/>
        <scheme val="minor"/>
      </rPr>
      <t xml:space="preserve"> projected </t>
    </r>
    <r>
      <rPr>
        <b/>
        <sz val="11"/>
        <color theme="1"/>
        <rFont val="Calibri"/>
        <family val="2"/>
        <scheme val="minor"/>
      </rPr>
      <t>compute points for</t>
    </r>
    <r>
      <rPr>
        <b/>
        <sz val="11"/>
        <color theme="1"/>
        <rFont val="Calibri"/>
        <family val="2"/>
        <charset val="204"/>
        <scheme val="minor"/>
      </rPr>
      <t xml:space="preserve"> </t>
    </r>
    <r>
      <rPr>
        <b/>
        <u/>
        <sz val="11"/>
        <color theme="1"/>
        <rFont val="Calibri"/>
        <family val="2"/>
        <charset val="204"/>
        <scheme val="minor"/>
      </rPr>
      <t>actual Disaster Recovery</t>
    </r>
  </si>
  <si>
    <t>Total projected costs:</t>
  </si>
  <si>
    <r>
      <t xml:space="preserve">2. Choose </t>
    </r>
    <r>
      <rPr>
        <u/>
        <sz val="11"/>
        <color theme="0"/>
        <rFont val="Arial"/>
        <family val="2"/>
        <charset val="204"/>
      </rPr>
      <t>Datacenter Group</t>
    </r>
    <r>
      <rPr>
        <sz val="11"/>
        <color theme="0"/>
        <rFont val="Arial"/>
        <family val="2"/>
        <charset val="204"/>
      </rPr>
      <t xml:space="preserve">: </t>
    </r>
  </si>
  <si>
    <t>3. Input data for endpoints to be licensed in per Workload model</t>
  </si>
  <si>
    <t xml:space="preserve">Cost </t>
  </si>
  <si>
    <t>Solution-based licensing</t>
  </si>
  <si>
    <t>Security+RMM</t>
  </si>
  <si>
    <t>BDR</t>
  </si>
  <si>
    <t>Ultimate</t>
  </si>
  <si>
    <t>Additional Storage for Base Edition</t>
  </si>
  <si>
    <t>Acronis Cyber Protect Cloud</t>
  </si>
  <si>
    <t xml:space="preserve"> Per Workload</t>
  </si>
  <si>
    <t>4. Input data for endpoints to be licensed in per GB model</t>
  </si>
  <si>
    <t>M365 Backup Storage</t>
  </si>
  <si>
    <t>5. Input data for endpoints to be protected by Advanced Packs</t>
  </si>
  <si>
    <t>Advanced 
packs</t>
  </si>
  <si>
    <t>Advanced Management</t>
  </si>
  <si>
    <t># Advanced Management Workloads (Servers, VMs, Workstations, Hosting Servers)</t>
  </si>
  <si>
    <t>Advanced Security</t>
  </si>
  <si>
    <t># Advanced Security+EDR Workloads (Servers, VMs, Workstations, Hosting Servers)</t>
  </si>
  <si>
    <t># Advanced Security+XDR Workloads (Servers, VMs, Workstations, Hosting Servers)</t>
  </si>
  <si>
    <t># Standard MDR Workloads (Servers, VMs, Workstations, Hosting Servers)</t>
  </si>
  <si>
    <t># Advanced MDR Workloads (Servers, VMs, Workstations, Hosting Servers)</t>
  </si>
  <si>
    <t>Advanced Email Security (Perception Point)</t>
  </si>
  <si>
    <t># Advanced Email Security Mailboxes</t>
  </si>
  <si>
    <t># Advanced Collaboration Apps Security Seats</t>
  </si>
  <si>
    <t>Advanced Data Loss Prevention</t>
  </si>
  <si>
    <t>Advanced automation</t>
  </si>
  <si>
    <t># Advanced Automation users (3 minimum)</t>
  </si>
  <si>
    <t>Advanced Disaster Recovery</t>
  </si>
  <si>
    <t>Advanced Files Sync &amp; Share</t>
  </si>
  <si>
    <t>6. Input data for Acronis Cyber Files Cloud</t>
  </si>
  <si>
    <t>7. Input data for Acronis Cyber Infrastructure</t>
  </si>
  <si>
    <t>Monthly cost (no commitment applied)</t>
  </si>
  <si>
    <t>Group</t>
  </si>
  <si>
    <t>SKU Name</t>
  </si>
  <si>
    <t>DC group</t>
  </si>
  <si>
    <t>SKU</t>
  </si>
  <si>
    <t>Commitment 1</t>
  </si>
  <si>
    <t>Commitment 2</t>
  </si>
  <si>
    <t>Commitment 3</t>
  </si>
  <si>
    <t>Commitment 4</t>
  </si>
  <si>
    <t>Commitment 5</t>
  </si>
  <si>
    <t>Commitment 6</t>
  </si>
  <si>
    <t>Commitment 7</t>
  </si>
  <si>
    <t>Commitment 8</t>
  </si>
  <si>
    <t>Solution- based  Licensing</t>
  </si>
  <si>
    <t>Security + RMM - WL - Endpoint - Acronis Cyber Protect Cloud</t>
  </si>
  <si>
    <t>All</t>
  </si>
  <si>
    <t>SESDMSENS</t>
  </si>
  <si>
    <t>Security + RMM - WL - Microsoft 365 seat  - Acronis Cyber Protect Cloud</t>
  </si>
  <si>
    <t>SESEMSENS</t>
  </si>
  <si>
    <t>Security + RMM - WL - Google Workspace seat - Acronis Cyber Protect Cloud</t>
  </si>
  <si>
    <t>SESFMSENS</t>
  </si>
  <si>
    <t>Backup and Disaster Recovery</t>
  </si>
  <si>
    <t>G1 DC group</t>
  </si>
  <si>
    <t>BDR - WL - Server (3 TB of Acronis Hosted Storage included) - G1 - Acronis Cyber Protect Cloud</t>
  </si>
  <si>
    <t>SBDAMSENS</t>
  </si>
  <si>
    <t>BDR - WL - VM (2 TB of Acronis Hosted Storage included) - G1 - Acronis Cyber Protect Cloud</t>
  </si>
  <si>
    <t>SBDBMSENS</t>
  </si>
  <si>
    <t>BDR - WL - Workstation (300 GB of Acronis Hosted Storage included) - G1 - Acronis Cyber Protect Cloud</t>
  </si>
  <si>
    <t>SBDCMSENS</t>
  </si>
  <si>
    <t>BDR - WL - Microsoft 365 seat (unlimited Acronis Hosted Cloud Storage included*) - G1 - Acronis Cyber Protect Cloud</t>
  </si>
  <si>
    <t>SBDDMSENS</t>
  </si>
  <si>
    <t>BDR - WL - Google Workspace seat (unlimited Acronis Hosted Cloud Storage included*) - G1 - Acronis Cyber Protect Cloud</t>
  </si>
  <si>
    <t>SBDEMSENS</t>
  </si>
  <si>
    <t>BDR - WL - Website Backup (50 GB of Acronis Hosted Storage included) - G1 - Acronis Cyber Protect Cloud</t>
  </si>
  <si>
    <t>SBDFMSENS</t>
  </si>
  <si>
    <t>BDR - WL - Mobile Backup (50 GB of Acronis Hosted Storage included) - G1 - Acronis Cyber Protect Cloud</t>
  </si>
  <si>
    <t>SBDGMSENS</t>
  </si>
  <si>
    <t>G2 DC group</t>
  </si>
  <si>
    <t>BDR - WL - Server (3 TB of Acronis Hosted Storage included) - G2 - Acronis Cyber Protect Cloud</t>
  </si>
  <si>
    <t>G2</t>
  </si>
  <si>
    <t>SBDHMSENS</t>
  </si>
  <si>
    <t>BDR - WL - VM (2 TB of Acronis Hosted Storage included) - G2 - Acronis Cyber Protect Cloud</t>
  </si>
  <si>
    <t>SBDIMSENS</t>
  </si>
  <si>
    <t>BDR - WL - Workstation (300 GB of Acronis Hosted Storage included) - G2 - Acronis Cyber Protect Cloud</t>
  </si>
  <si>
    <t>SBDJMSENS</t>
  </si>
  <si>
    <t>BDR - WL - Microsoft 365 seat (unlimited Acronis Hosted Cloud Storage included*) - G2 - Acronis Cyber Protect Cloud</t>
  </si>
  <si>
    <t>SBDKMSENS</t>
  </si>
  <si>
    <t>BDR - WL - Google Workspace seat (unlimited Acronis Hosted Cloud Storage included*) - G2 - Acronis Cyber Protect Cloud</t>
  </si>
  <si>
    <t>SBDLMSENS</t>
  </si>
  <si>
    <t>BDR - WL - Website Backup (50 GB of Acronis Hosted Storage included) - G2 - Acronis Cyber Protect Cloud</t>
  </si>
  <si>
    <t>SBDMMSENS</t>
  </si>
  <si>
    <t>BDR - WL - Mobile Backup (50 GB of Acronis Hosted Storage included) - G2 - Acronis Cyber Protect Cloud</t>
  </si>
  <si>
    <t>SBDNMSENS</t>
  </si>
  <si>
    <t>Ultimate Protection - WL - Server (3 TB of Acronis Hosted Storage included) - G1 - Acronis Cyber Protect Cloud</t>
  </si>
  <si>
    <t>SUPCMSENS</t>
  </si>
  <si>
    <t>Ultimate Protection - WL - VM (2 TB of Acronis Hosted Storage included) - G1 - Acronis Cyber Protect Cloud</t>
  </si>
  <si>
    <t>SUPDMSENS</t>
  </si>
  <si>
    <t>Ultimate Protection - WL - Workstation (300 GB of Acronis Hosted Storage included) - G1 - Acronis Cyber Protect Cloud</t>
  </si>
  <si>
    <t>SUPEMSENS</t>
  </si>
  <si>
    <t>Ultimate Protection - WL - Microsoft 365 seat (unlimited Acronis Hosted Cloud Storage included*) - G1 - Acronis Cyber Protect Cloud</t>
  </si>
  <si>
    <t>SUPFMSENS</t>
  </si>
  <si>
    <t>Ultimate Protection - WL - Google Workspace seat (unlimited Acronis Hosted Cloud Storage included*) - G1 - Acronis Cyber Protect Cloud</t>
  </si>
  <si>
    <t>SUPGMSENS</t>
  </si>
  <si>
    <t>Ultimate Protection - WL - Server (3 TB of Acronis Hosted Storage included) - G2 - Acronis Cyber Protect Cloud</t>
  </si>
  <si>
    <t>SUPHMSENS</t>
  </si>
  <si>
    <t>Ultimate Protection - WL - VM (2 TB of Acronis Hosted Storage included) - G2 - Acronis Cyber Protect Cloud</t>
  </si>
  <si>
    <t>SUPIMSENS</t>
  </si>
  <si>
    <t>Ultimate Protection - WL - Workstation (300 GB of Acronis Hosted Storage included) - G2 - Acronis Cyber Protect Cloud</t>
  </si>
  <si>
    <t>SUPJMSENS</t>
  </si>
  <si>
    <t>Ultimate Protection - WL - Microsoft 365 seat (unlimited Acronis Hosted Cloud Storage included*) - G2 - Acronis Cyber Protect Cloud</t>
  </si>
  <si>
    <t>SUPKMSENS</t>
  </si>
  <si>
    <t>Ultimate Protection - WL - Google Workspace seat (unlimited Acronis Hosted Cloud Storage included*) - G2 - Acronis Cyber Protect Cloud</t>
  </si>
  <si>
    <t>SUPLMSENS</t>
  </si>
  <si>
    <t xml:space="preserve">Solution-based Licensing - WL - Managed Detection and Response - Standard - Acronis Cyber Protect Cloud          </t>
  </si>
  <si>
    <t>SRS6MSENS</t>
  </si>
  <si>
    <t>Solution-based Licensing - WL - Managed Detection and Response - Advanced - Acronis Cyber Protect Cloud          </t>
  </si>
  <si>
    <t>SRS7MSENS</t>
  </si>
  <si>
    <t>Solution-based Licensing - Security Awareness Training (per user) - Acronis Cyber Protect Cloud</t>
  </si>
  <si>
    <t>SBSTFNLOS</t>
  </si>
  <si>
    <t>Additional Storage</t>
  </si>
  <si>
    <t>Solution-based Licensing - Acronis Hosted Storage (per GB) - G1 - Acronis Cyber Protect Cloud</t>
  </si>
  <si>
    <t>SPSAMSENS</t>
  </si>
  <si>
    <t>Solution-based Licensing - Acronis Hosted Storage (per GB) - G2 - Acronis Cyber Protect Cloud</t>
  </si>
  <si>
    <t>SPS2MSENS</t>
  </si>
  <si>
    <t>Geo-Replication</t>
  </si>
  <si>
    <t>Solution-based Licensing - Geo-redundant - GB - Acronis Hosted Storage - G1 - Acronis Cyber Protect Cloud</t>
  </si>
  <si>
    <t>SPSGMSENS</t>
  </si>
  <si>
    <t>Solution-based licensing - Backup Geo-redundant - Acronis Hosted Storage</t>
  </si>
  <si>
    <t>Solution-based Licensing - Geo-redundant - WL - Microsoft 365 seat (unlimited Acronis Hosted Cloud storage*) - G1 - Acronis Cyber Protect Cloud</t>
  </si>
  <si>
    <t>SRSGMSENS</t>
  </si>
  <si>
    <t>Solution-based licensing - # Geo-redundant Microsoft 365 seat (unlimited Acronis Hosted Cloud Storage included*)</t>
  </si>
  <si>
    <t>Solution-based Licensing - Geo-redundant - WL - Google Workspace seat (unlimited Acronis Hosted Cloud storage*) - G1 - Acronis Cyber Protect Cloud</t>
  </si>
  <si>
    <t>SQSGMSENS</t>
  </si>
  <si>
    <t>Solution-based licensing - # Geo-redundant Google Workspace seat (unlimited Acronis Hosted Cloud Storage included*)</t>
  </si>
  <si>
    <t>Solution-based Licensing - Disaster Recovery - Acronis Hosted - 1 compute point (per running hour) - Acronis Cyber Protect Cloud</t>
  </si>
  <si>
    <t>SQSAMSENS</t>
  </si>
  <si>
    <t>Monthly Compute Point Consumption for BDR/Ultimate</t>
  </si>
  <si>
    <t>Solution-based Licensing - Disaster Recovery - Acronis Hosted Public IP address - Acronis Cyber Protect Cloud</t>
  </si>
  <si>
    <t>SQSBMSENS</t>
  </si>
  <si>
    <t>Public IPs for BDR/Ultimate</t>
  </si>
  <si>
    <t>Service- based Licensing</t>
  </si>
  <si>
    <t>Essential Protection</t>
  </si>
  <si>
    <t>Acronis Cyber Protect Cloud - Essential Protection</t>
  </si>
  <si>
    <t>SPDCMSENS</t>
  </si>
  <si>
    <t>Endpoint Detection and Response (EDR) - WL -  Acronis Cyber Protect Cloud</t>
  </si>
  <si>
    <t>SRIAMSENS</t>
  </si>
  <si>
    <t>Extended Detection and Response (XDR) - WL - Acronis Cyber Protect Cloud</t>
  </si>
  <si>
    <t>SRXAMSENS</t>
  </si>
  <si>
    <t xml:space="preserve">Managed Detection and Response (MDR) - Standard - WL - Acronis Cyber Protect Cloud          </t>
  </si>
  <si>
    <t>SRI6MSENS</t>
  </si>
  <si>
    <t>Managed Detection and Response (MDR) - Advanced - WL - Acronis Cyber Protect Cloud          </t>
  </si>
  <si>
    <t>SRI7MSENS</t>
  </si>
  <si>
    <t>Data Loss Prevention (DLP) - Endpoint - Acronis Cyber Protect Cloud</t>
  </si>
  <si>
    <t>SRI5MSENS</t>
  </si>
  <si>
    <t>Email Security - User - Acronis Cyber Protect Cloud</t>
  </si>
  <si>
    <t>SO4AMSENS</t>
  </si>
  <si>
    <t>Collaboration Security for Microsoft 365 - User - Acronis Cyber Protect Cloud</t>
  </si>
  <si>
    <t>SO6AMSENS</t>
  </si>
  <si>
    <t>Security Posture Management - Microsoft 365 seat - Acronis Cyber Protect Cloud</t>
  </si>
  <si>
    <t>SRMAMSENS</t>
  </si>
  <si>
    <t>Security Awareness Training - User - Acronis Cyber Protect Cloud</t>
  </si>
  <si>
    <t>SBATFNLOS</t>
  </si>
  <si>
    <t>Remote Management and Monitoring</t>
  </si>
  <si>
    <t>Remote Management and Monitoring (RMM) - Endpoint - Acronis Cyber Protect Cloud</t>
  </si>
  <si>
    <t>SRHAMSENS</t>
  </si>
  <si>
    <t>Professional Services Automation</t>
  </si>
  <si>
    <t>Professional Services Automation (PSA) - User - Acronis Cyber Protect Cloud</t>
  </si>
  <si>
    <t>SQACMSENS</t>
  </si>
  <si>
    <t>Backup - GB - Acronis Hosted Storage (per GB) - G1 - Acronis Cyber Protect Cloud</t>
  </si>
  <si>
    <t>SPBAMSENS</t>
  </si>
  <si>
    <t>Backup - GB - Acronis Hosted Storage (per GB) - G2 - Acronis Cyber Protect Cloud</t>
  </si>
  <si>
    <t>SPB2MSENS</t>
  </si>
  <si>
    <t>Backup - GB - Google Hosted Storage (per GB) - Acronis Cyber Protect Cloud</t>
  </si>
  <si>
    <t>SP3AMSENS</t>
  </si>
  <si>
    <t>Backup - GB - Azure Hosted Storage (per GB) - Acronis Cyber Protect Cloud</t>
  </si>
  <si>
    <t>SQ2AMSENS</t>
  </si>
  <si>
    <t>Backup - GB - Partner Storage (per GB) - Acronis Cyber Protect Cloud</t>
  </si>
  <si>
    <t>SPBBMSENS</t>
  </si>
  <si>
    <t>Backup - GB - Customer Storage (per GB) - Acronis Cyber Protect Cloud</t>
  </si>
  <si>
    <t>SP4BMSENS</t>
  </si>
  <si>
    <t>Per Workload</t>
  </si>
  <si>
    <t>Backup - WL - Server - Acronis Cyber Protect Cloud</t>
  </si>
  <si>
    <t>SPEAMSENS</t>
  </si>
  <si>
    <t>Backup - WL - NAS - Acronis Cyber Protect Cloud</t>
  </si>
  <si>
    <t>SPD5MSENS</t>
  </si>
  <si>
    <t>Backup - WL - VM - Acronis Cyber Protect Cloud</t>
  </si>
  <si>
    <t>SPFAMSENS</t>
  </si>
  <si>
    <t>Backup - WL - vCloud Director VM - Acronis Cyber Protect Cloud</t>
  </si>
  <si>
    <t>SVVAMSENS</t>
  </si>
  <si>
    <t>Backup - WL - Workstation - Acronis Cyber Protect Cloud</t>
  </si>
  <si>
    <t>SPGAMSENS</t>
  </si>
  <si>
    <t>Backup - WL - Hosting Server - Acronis Cyber Protect Cloud</t>
  </si>
  <si>
    <t>SQ7AMSENS</t>
  </si>
  <si>
    <t>Backup - WL - Microsoft 365 seat (with unlimited Acronis Hosted Cloud storage*) - G1 - Acronis Cyber Protect Cloud</t>
  </si>
  <si>
    <t>SRJAMSENS</t>
  </si>
  <si>
    <t>Backup - WL - Microsoft 365 seat (with unlimited Acronis Hosted Cloud storage*) - G2 - Acronis Cyber Protect Cloud</t>
  </si>
  <si>
    <t>SRJ2MSENS</t>
  </si>
  <si>
    <t>Backup - WL - Microsoft 365 seat (for SP/Customer/Azure/Google Hosted storage) - Acronis Cyber Protect Cloud</t>
  </si>
  <si>
    <t>SRAAMSENS</t>
  </si>
  <si>
    <t>Backup - WL - Microsoft Hosted Exchange - Acronis Cyber Protect Cloud</t>
  </si>
  <si>
    <t>ST6AMSENS</t>
  </si>
  <si>
    <t>Backup - WL - Google Workspace seat (with unlimited Acronis Hosted Cloud storage*) - G1 - Acronis Cyber Protect Cloud</t>
  </si>
  <si>
    <t>SQ8AMSENS</t>
  </si>
  <si>
    <t>Backup - WL - Google Workspace seat (with unlimited Acronis Hosted Cloud storage*) - G2 - Acronis Cyber Protect Cloud</t>
  </si>
  <si>
    <t>SQ82MSENS</t>
  </si>
  <si>
    <t>Backup - WL - Google Workspace seat (for SP/Azure/Google Hosted storage) - Acronis Cyber Protect Cloud</t>
  </si>
  <si>
    <t>SQBPMSENS</t>
  </si>
  <si>
    <t>Backup - WL - Mobile - Acronis Cyber Protect Cloud</t>
  </si>
  <si>
    <t>SRBAMSENS</t>
  </si>
  <si>
    <t>Backup - WL - Website - Acronis Cyber Protect Cloud</t>
  </si>
  <si>
    <t>SEAAMSENS</t>
  </si>
  <si>
    <t>Backup - WL - Acronis Hosted Storage for per Workload model (per GB) - G1 - Acronis Cyber Protect Cloud</t>
  </si>
  <si>
    <t>SPDAMSENS</t>
  </si>
  <si>
    <t>Backup - WL - Acronis Hosted Storage for per Workload model (per GB) - G2 - Acronis Cyber Protect Cloud</t>
  </si>
  <si>
    <t>SPD2MSENS</t>
  </si>
  <si>
    <t>Backup - WL - Google Hosted Storage for per Workload model (per GB) - Acronis Cyber Protect Cloud</t>
  </si>
  <si>
    <t>SPXAMSENS</t>
  </si>
  <si>
    <t>Backup - WL - Azure Hosted Storage for per Workload model (per GB) - Acronis Cyber Protect Cloud</t>
  </si>
  <si>
    <t>SQ1AMSENS</t>
  </si>
  <si>
    <t>Microsoft 365 Backup Powered by Microsoft</t>
  </si>
  <si>
    <t xml:space="preserve">Backup - GB – Microsoft 365 Backup Storage (per GB) – Microsoft 365 Backup (powered by Microsoft) </t>
  </si>
  <si>
    <t>SPZBMSENS</t>
  </si>
  <si>
    <t>Backup - Geo-redundant - GB/WL - Acronis Hosted Storage - G1 - Acronis Cyber Protect Cloud</t>
  </si>
  <si>
    <t>SP5AMSENS</t>
  </si>
  <si>
    <t>Backup - Geo-redundant - WL - Microsoft 365 seat (with unlimited Acronis Hosted Cloud storage*) - G1 - Acronis Cyber Protect Cloud</t>
  </si>
  <si>
    <t>SRJGMSENS</t>
  </si>
  <si>
    <t>Backup - Geo-redundant - WL - Google Workspace seat (with unlimited Acronis Hosted Cloud storage*) - G1 - Acronis Cyber Protect Cloud</t>
  </si>
  <si>
    <t>SQBGMSENS</t>
  </si>
  <si>
    <t>Advanced Backup - WL - Server - Acronis Cyber Protect Cloud</t>
  </si>
  <si>
    <t>SRDAMSENS</t>
  </si>
  <si>
    <t>Advanced Backup - WL - VM - Acronis Cyber Protect Cloud</t>
  </si>
  <si>
    <t>SREAMSENS</t>
  </si>
  <si>
    <t>Advanced Backup - WL - Workstation - Acronis Cyber Protect Cloud</t>
  </si>
  <si>
    <t>SRFAMSENS</t>
  </si>
  <si>
    <t>Advanced Backup - WL - Hosting Server - Acronis Cyber Protect Cloud</t>
  </si>
  <si>
    <t>SRGAMSENS</t>
  </si>
  <si>
    <t>Advanced Backup - WL - Microsoft 365 seat - Acronis Cyber Protect Cloud</t>
  </si>
  <si>
    <t>SQKBMSENS</t>
  </si>
  <si>
    <t>Advanced Backup - WL - Google Workspace seat - Acronis Cyber Protect Cloud</t>
  </si>
  <si>
    <t>SQBBMSENS</t>
  </si>
  <si>
    <t>Disaster Recovery - GB - Acronis Hosted Storage (per GB) - G1 - Acronis Cyber Protect Cloud</t>
  </si>
  <si>
    <t>SVEAMSENS</t>
  </si>
  <si>
    <t>Disaster Recovery - GB - Acronis Hosted Storage (per GB) - G2 - Acronis Cyber Protect Cloud</t>
  </si>
  <si>
    <t>SVE2MSENS</t>
  </si>
  <si>
    <t>Disaster Recovery - GB - Partner Storage (per GB) - Acronis Cyber Protect Cloud</t>
  </si>
  <si>
    <t>SVFAMSENS</t>
  </si>
  <si>
    <t>Disaster Recovery - GB - Acronis Hosted - 1 compute point (per running hour) - Acronis Cyber Protect Cloud</t>
  </si>
  <si>
    <t>SQYAMSENS</t>
  </si>
  <si>
    <t>Disaster Recovery - GB - Acronis Hosted Public IP address - Acronis Cyber Protect Cloud</t>
  </si>
  <si>
    <t>SEDAMSENS</t>
  </si>
  <si>
    <t>Disaster Recovery – WL - DR and Direct Backup to Azure - Acronis Cyber Protect Cloud</t>
  </si>
  <si>
    <t>SEHAMSENS</t>
  </si>
  <si>
    <t>Archiving - GB - Acronis Hosted Storage (per GB) - G1 - Acronis Cyber Protect Cloud</t>
  </si>
  <si>
    <t>SHBAMSENS</t>
  </si>
  <si>
    <t>Archiving - GB - Acronis Hosted Storage (per GB) - G2 - Acronis Cyber Protect Cloud</t>
  </si>
  <si>
    <t>SHB2MSENS</t>
  </si>
  <si>
    <t>Archiving - GB - Partner Storage (per GB) - Acronis Cyber Protect Cloud</t>
  </si>
  <si>
    <t>SHBBMSENS</t>
  </si>
  <si>
    <t>Archiving - GB - Google Hosted Storage (per GB) - Acronis Cyber Protect Cloud</t>
  </si>
  <si>
    <t>SH3AMSENS</t>
  </si>
  <si>
    <t>Archiving - GB - Azure Hosted Storage (per GB) - Acronis Cyber Protect Cloud</t>
  </si>
  <si>
    <t>SH2AMSENS</t>
  </si>
  <si>
    <t>Archiving - WL - Microsoft 365 seat (with unlimited Acronis Hosted Cloud storage*) - G1 - Acronis Cyber Protect Cloud</t>
  </si>
  <si>
    <t>SHJAMSENS</t>
  </si>
  <si>
    <t>Archiving - WL - Microsoft 365 seat (with unlimited Acronis Hosted Cloud storage*) - G2 - Acronis Cyber Protect Cloud</t>
  </si>
  <si>
    <t>SHJ2MSENS</t>
  </si>
  <si>
    <t>Archiving - WL - Microsoft 365 seat (for SP/Azure/Google Hosted storage) - Acronis Cyber Protect Cloud</t>
  </si>
  <si>
    <t>SHAAMSENS</t>
  </si>
  <si>
    <t>Archiving - WL - Google Hosted Storage for per Workload model (per GB) - Acronis Cyber Protect Cloud</t>
  </si>
  <si>
    <t>SHXAMSENS</t>
  </si>
  <si>
    <t>Archiving - WL - Azure Hosted Storage for per Workload model (per GB) - Acronis Cyber Protect Cloud</t>
  </si>
  <si>
    <t>SH1AMSENS</t>
  </si>
  <si>
    <t>Files Sync &amp; Share</t>
  </si>
  <si>
    <t>Files Sync &amp; Share - GB - Acronis Hosted Storage (per GB) - G1 - Acronis Cyber Files Cloud</t>
  </si>
  <si>
    <t>SP1AMSENS</t>
  </si>
  <si>
    <t>Files Sync &amp; Share - GB - Acronis Hosted Storage (per GB) - G2 - Acronis Cyber Files Cloud</t>
  </si>
  <si>
    <t>SP12MSENS</t>
  </si>
  <si>
    <t>Files Sync &amp; Share - GB - Partner Storage (per GB) - Acronis Cyber Files Cloud</t>
  </si>
  <si>
    <t>SP2AMSENS</t>
  </si>
  <si>
    <t>Files Sync &amp; Share - User (per user)  - Acronis Cyber Files Cloud</t>
  </si>
  <si>
    <t>SPIAMSENS</t>
  </si>
  <si>
    <t>Files Sync &amp; Share - User - Acronis Hosted Storage (per GB) - G1 - Acronis Cyber Files Cloud</t>
  </si>
  <si>
    <t>SUVAMSENS</t>
  </si>
  <si>
    <t>Files Sync &amp; Share - User - Acronis Hosted Storage (per GB) - G2 - Acronis Cyber Files Cloud</t>
  </si>
  <si>
    <t>SUV2MSENS</t>
  </si>
  <si>
    <t>eSignature &amp; Notarization</t>
  </si>
  <si>
    <t>Files Sync &amp; Share - eSignature (per eSignature) - Acronis Cyber Files Cloud</t>
  </si>
  <si>
    <t>SR1AMSENS</t>
  </si>
  <si>
    <t>Files Sync &amp; Share - Notarization (per notarization) - Acronis Cyber Files Cloud</t>
  </si>
  <si>
    <t>SR2AMSENS</t>
  </si>
  <si>
    <t>Physical Data Shipping</t>
  </si>
  <si>
    <t>Physical Data Shipping to Cloud, 1 disk - Acronis Cyber Protect Cloud</t>
  </si>
  <si>
    <t>SEGAMSENS</t>
  </si>
  <si>
    <t>SPLA - Acronis Cyber Infrastructure (per GB)</t>
  </si>
  <si>
    <t>SCVAMSENS</t>
  </si>
  <si>
    <t>When Distributors submit an Order to provision a Service Provider under a Commitment tier, Distributors commit to paying Acronis the higher of (1) the associated commitment amount with the selected Commitment tier for that Service Provider or (2) aggregate cost of the price per GB, device, End User, computer resource, or IP Address multiplied by the Price Per Unit (“Actual Usage Price”).  Distributors may request to increase the Commitment tier for a Service Provider to a commitment that is higher than the previous monthly invoice for that Service Provider.  Acronis reserves the right to approve any change in Commitment tier in its sole and absolute discretion.  Without limiting the foregoing, Company will reject any change to Service Provider’s Minimum Monthly Commitment tier that is not higher than Service Provider’s previous monthly invoice.</t>
  </si>
  <si>
    <t>* based on the fair usage policy: https://www.acronis.com/en-us/company/licensing/</t>
  </si>
  <si>
    <t>Acronis Datacenters</t>
  </si>
  <si>
    <t>#</t>
  </si>
  <si>
    <t>Type</t>
  </si>
  <si>
    <t>Storage type group</t>
  </si>
  <si>
    <t xml:space="preserve">Country </t>
  </si>
  <si>
    <t>DC</t>
  </si>
  <si>
    <t>Geo-redundancy available</t>
  </si>
  <si>
    <t>Existing DC</t>
  </si>
  <si>
    <t>USA</t>
  </si>
  <si>
    <t>Phoenix</t>
  </si>
  <si>
    <t>Ashburn</t>
  </si>
  <si>
    <t xml:space="preserve">Germany </t>
  </si>
  <si>
    <t xml:space="preserve">Frankfurt </t>
  </si>
  <si>
    <t xml:space="preserve">Switzerland </t>
  </si>
  <si>
    <t>Lupfig</t>
  </si>
  <si>
    <t>UK</t>
  </si>
  <si>
    <t xml:space="preserve">London </t>
  </si>
  <si>
    <t xml:space="preserve">Japan </t>
  </si>
  <si>
    <t>Nagano</t>
  </si>
  <si>
    <t>Kanagawa</t>
  </si>
  <si>
    <t xml:space="preserve">Cologne </t>
  </si>
  <si>
    <t xml:space="preserve">France </t>
  </si>
  <si>
    <t>Strasbourg</t>
  </si>
  <si>
    <t>St.Louis</t>
  </si>
  <si>
    <t xml:space="preserve">Singapore </t>
  </si>
  <si>
    <t xml:space="preserve">Australia </t>
  </si>
  <si>
    <t>Sydney</t>
  </si>
  <si>
    <t>Canada</t>
  </si>
  <si>
    <t>Vancouver</t>
  </si>
  <si>
    <t>Toronto</t>
  </si>
  <si>
    <t>New Zealand</t>
  </si>
  <si>
    <t>Auckland</t>
  </si>
  <si>
    <t>Liechtenstein</t>
  </si>
  <si>
    <t>Balzers</t>
  </si>
  <si>
    <t>Indonesia</t>
  </si>
  <si>
    <t>Jakarta</t>
  </si>
  <si>
    <t>India</t>
  </si>
  <si>
    <t>Mumbai</t>
  </si>
  <si>
    <t>Spain</t>
  </si>
  <si>
    <t>Valencia</t>
  </si>
  <si>
    <t>Israel</t>
  </si>
  <si>
    <t>Tel Aviv</t>
  </si>
  <si>
    <t>Portugal</t>
  </si>
  <si>
    <t>Lisbon</t>
  </si>
  <si>
    <t>Korea</t>
  </si>
  <si>
    <t>Seoul</t>
  </si>
  <si>
    <t>Czech Republic</t>
  </si>
  <si>
    <t>Prague</t>
  </si>
  <si>
    <t>Greece</t>
  </si>
  <si>
    <t>Thessaloniki</t>
  </si>
  <si>
    <t>Brazil</t>
  </si>
  <si>
    <t>Sao Paulo</t>
  </si>
  <si>
    <t>Poland</t>
  </si>
  <si>
    <t>Warsaw</t>
  </si>
  <si>
    <t>Austria</t>
  </si>
  <si>
    <t>Vienna</t>
  </si>
  <si>
    <t>Denmark</t>
  </si>
  <si>
    <t>Billund</t>
  </si>
  <si>
    <t>Bulgaria</t>
  </si>
  <si>
    <t>Sofia</t>
  </si>
  <si>
    <t>Turkey</t>
  </si>
  <si>
    <t>Istanbul</t>
  </si>
  <si>
    <t>Norway</t>
  </si>
  <si>
    <t>Oslo</t>
  </si>
  <si>
    <t>Finland</t>
  </si>
  <si>
    <t>Helsinki</t>
  </si>
  <si>
    <t>Italy</t>
  </si>
  <si>
    <t>Rome</t>
  </si>
  <si>
    <t>Sweden</t>
  </si>
  <si>
    <t>Goteborg</t>
  </si>
  <si>
    <t>Romania</t>
  </si>
  <si>
    <t>Bucharest</t>
  </si>
  <si>
    <t>Hungary</t>
  </si>
  <si>
    <t>Budapest</t>
  </si>
  <si>
    <t>Mexico</t>
  </si>
  <si>
    <t>Mexico City</t>
  </si>
  <si>
    <t>Malaysia</t>
  </si>
  <si>
    <t>Kuala Lumpur</t>
  </si>
  <si>
    <t>Planned DC</t>
  </si>
  <si>
    <t>Slovenia</t>
  </si>
  <si>
    <t>Ljubljana</t>
  </si>
  <si>
    <t>Croatia</t>
  </si>
  <si>
    <t>Zagreb</t>
  </si>
  <si>
    <t>South Africa</t>
  </si>
  <si>
    <t>Johannesburg</t>
  </si>
  <si>
    <t>UAE</t>
  </si>
  <si>
    <t>Abu Dhabi</t>
  </si>
  <si>
    <t>Taiwan</t>
  </si>
  <si>
    <t>Taipei</t>
  </si>
  <si>
    <t>Iceland</t>
  </si>
  <si>
    <t>Reykjavik</t>
  </si>
  <si>
    <t>Serbia</t>
  </si>
  <si>
    <t>Belgrade</t>
  </si>
  <si>
    <t>Google Datacenters</t>
  </si>
  <si>
    <t>The Dalles (OR)</t>
  </si>
  <si>
    <t>Montreal</t>
  </si>
  <si>
    <t>Microsoft Azure Datacenters</t>
  </si>
  <si>
    <t>West Des Moines (IA)</t>
  </si>
  <si>
    <t>Netherlands</t>
  </si>
  <si>
    <t>Amsterdam</t>
  </si>
  <si>
    <t>Ireland</t>
  </si>
  <si>
    <t>Dublin</t>
  </si>
  <si>
    <t>Chennai</t>
  </si>
  <si>
    <t>How to use this calculator?</t>
  </si>
  <si>
    <t>1. For customers using solution-based licensing, pricing should be calculated on this page.</t>
  </si>
  <si>
    <t>Solution-based licensing includes pre-packaged solutions that bundle services tailored to different workload types, helping partners build offerings for their end customers. Pre-packaged solutions include:</t>
  </si>
  <si>
    <t>a. Security + RMM - detection and response combined with remote monitoring and management capabilities</t>
  </si>
  <si>
    <t>b. Backup + DR - data protection capabilities with backup, disaster recovery and included storage</t>
  </si>
  <si>
    <t>c. Ultimate Protection - a comprehensive package that includes options (a) and (b), plus a range of additional services</t>
  </si>
  <si>
    <t>2. For customers using service-based licensing, pricing should be calculated on this page.</t>
  </si>
  <si>
    <t xml:space="preserve"> Service-based licensing offers standalone services that can be combined on demand and customized for each workload, maximizing flexibility. Available services include:</t>
  </si>
  <si>
    <t>a. Endpoint and SaaS backup</t>
  </si>
  <si>
    <t>b. Advanced Backup</t>
  </si>
  <si>
    <t>c. Disaster Recovery</t>
  </si>
  <si>
    <t>d. Endpoint and SaaS security</t>
  </si>
  <si>
    <t>e. RMM</t>
  </si>
  <si>
    <t>f. PSA</t>
  </si>
  <si>
    <t>g. Email Archiving and more</t>
  </si>
  <si>
    <t xml:space="preserve">3. Choose minimum commitment and data center group. Ensure the minimum commitment and datacenter group are the same on both pages. </t>
  </si>
  <si>
    <t xml:space="preserve">4. Enter the quantity for each SKU. All other calculations will be performed automatically. </t>
  </si>
  <si>
    <t>5. The total cost is shown in the bottom of both solution-based and service-based pages. You can also see summarized totals with and without minimum commitment applied. Totals are synchronized and automatically updated when any changes are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</si>
</sst>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 &quot;₽&quot;_-;\-* #,##0.00\ &quot;₽&quot;_-;_-* &quot;-&quot;??\ &quot;₽&quot;_-;_-@_-"/>
    <numFmt numFmtId="165" formatCode="_-* #,##0.00_-;\-* #,##0.00_-;_-* &quot;-&quot;??_-;_-@_-"/>
    <numFmt numFmtId="166" formatCode="0.0"/>
    <numFmt numFmtId="167" formatCode="_([$$-409]* #,##0.00_);_([$$-409]* \(#,##0.00\);_([$$-409]* &quot;-&quot;???_);_(@_)"/>
    <numFmt numFmtId="168" formatCode="[&lt;1000]0.0&quot; GB&quot;;0.00,&quot; TB&quot;"/>
    <numFmt numFmtId="169" formatCode="#,##0\ [$USD]"/>
    <numFmt numFmtId="170" formatCode="#,##0.00\ [$USD]"/>
    <numFmt numFmtId="171" formatCode="#,##0.00_ ;\-#,##0.00\ "/>
    <numFmt numFmtId="172" formatCode="#,##0_ ;\-#,##0\ "/>
    <numFmt numFmtId="173" formatCode="[$EUR]\ #,##0"/>
    <numFmt numFmtId="174" formatCode="#,##0.00\ [$CAD]"/>
    <numFmt numFmtId="175" formatCode="#,##0.0000\ [$AUD]"/>
    <numFmt numFmtId="176" formatCode="#,##0\ [$AUD]"/>
    <numFmt numFmtId="177" formatCode="#,##0.00\ [$AUD]"/>
    <numFmt numFmtId="178" formatCode="#,##0.000\ [$AUD]"/>
  </numFmts>
  <fonts count="82">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b/>
      <sz val="14"/>
      <color theme="0"/>
      <name val="Calibri"/>
      <family val="2"/>
      <charset val="204"/>
      <scheme val="minor"/>
    </font>
    <font>
      <b/>
      <sz val="11"/>
      <color theme="1"/>
      <name val="Calibri"/>
      <family val="2"/>
      <scheme val="minor"/>
    </font>
    <font>
      <u/>
      <sz val="11"/>
      <color theme="10"/>
      <name val="Calibri"/>
      <family val="2"/>
      <scheme val="minor"/>
    </font>
    <font>
      <b/>
      <sz val="11"/>
      <color theme="0"/>
      <name val="Calibri"/>
      <family val="2"/>
      <scheme val="minor"/>
    </font>
    <font>
      <b/>
      <sz val="11"/>
      <color theme="0"/>
      <name val="Calibri"/>
      <family val="2"/>
    </font>
    <font>
      <b/>
      <sz val="18"/>
      <color theme="0"/>
      <name val="Calibri"/>
      <family val="2"/>
      <charset val="204"/>
      <scheme val="minor"/>
    </font>
    <font>
      <sz val="11"/>
      <name val="Calibri"/>
      <family val="2"/>
      <charset val="204"/>
      <scheme val="minor"/>
    </font>
    <font>
      <sz val="11"/>
      <color theme="0"/>
      <name val="Calibri"/>
      <family val="2"/>
      <scheme val="minor"/>
    </font>
    <font>
      <sz val="11"/>
      <name val="Calibri"/>
      <family val="2"/>
      <scheme val="minor"/>
    </font>
    <font>
      <sz val="16"/>
      <color theme="1"/>
      <name val="Arial"/>
      <family val="2"/>
    </font>
    <font>
      <sz val="11"/>
      <color theme="1"/>
      <name val="Arial"/>
      <family val="2"/>
    </font>
    <font>
      <sz val="12"/>
      <color theme="1"/>
      <name val="Arial"/>
      <family val="2"/>
    </font>
    <font>
      <sz val="9"/>
      <color theme="0"/>
      <name val="Arial"/>
      <family val="2"/>
    </font>
    <font>
      <sz val="11"/>
      <color theme="0"/>
      <name val="Arial"/>
      <family val="2"/>
    </font>
    <font>
      <sz val="11"/>
      <name val="Arial"/>
      <family val="2"/>
    </font>
    <font>
      <sz val="14"/>
      <color rgb="FFFFFFFF"/>
      <name val="Arial"/>
      <family val="2"/>
    </font>
    <font>
      <b/>
      <sz val="12"/>
      <color theme="1"/>
      <name val="Arial"/>
      <family val="2"/>
    </font>
    <font>
      <sz val="12"/>
      <color theme="0"/>
      <name val="Arial"/>
      <family val="2"/>
    </font>
    <font>
      <sz val="6"/>
      <color rgb="FF003882"/>
      <name val="Arial"/>
      <family val="2"/>
    </font>
    <font>
      <sz val="11"/>
      <color rgb="FF002060"/>
      <name val="Arial"/>
      <family val="2"/>
    </font>
    <font>
      <sz val="9"/>
      <color rgb="FF002060"/>
      <name val="Arial"/>
      <family val="2"/>
    </font>
    <font>
      <b/>
      <sz val="12"/>
      <color theme="1"/>
      <name val="Arial"/>
      <family val="2"/>
      <charset val="204"/>
    </font>
    <font>
      <b/>
      <sz val="12"/>
      <color theme="0"/>
      <name val="Arial"/>
      <family val="2"/>
      <charset val="204"/>
    </font>
    <font>
      <b/>
      <sz val="14"/>
      <color rgb="FFFFFFFF"/>
      <name val="Arial"/>
      <family val="2"/>
      <charset val="204"/>
    </font>
    <font>
      <b/>
      <sz val="12"/>
      <color rgb="FFFFFFFF"/>
      <name val="Arial"/>
      <family val="2"/>
      <charset val="204"/>
    </font>
    <font>
      <u/>
      <sz val="11"/>
      <color theme="10"/>
      <name val="Calibri"/>
      <family val="2"/>
      <charset val="204"/>
      <scheme val="minor"/>
    </font>
    <font>
      <u/>
      <sz val="11"/>
      <color theme="10"/>
      <name val="Arial"/>
      <family val="2"/>
      <charset val="204"/>
    </font>
    <font>
      <sz val="12"/>
      <color rgb="FFFFFF00"/>
      <name val="Arial"/>
      <family val="2"/>
    </font>
    <font>
      <b/>
      <sz val="11"/>
      <color theme="0"/>
      <name val="Calibri"/>
      <family val="2"/>
      <charset val="204"/>
      <scheme val="minor"/>
    </font>
    <font>
      <sz val="11"/>
      <color theme="0"/>
      <name val="Calibri"/>
      <family val="2"/>
      <charset val="204"/>
      <scheme val="minor"/>
    </font>
    <font>
      <sz val="11"/>
      <color rgb="FF000000"/>
      <name val="Calibri"/>
      <family val="2"/>
      <charset val="204"/>
      <scheme val="minor"/>
    </font>
    <font>
      <u/>
      <sz val="11"/>
      <color theme="0"/>
      <name val="Arial"/>
      <family val="2"/>
      <charset val="204"/>
    </font>
    <font>
      <sz val="11"/>
      <color theme="0"/>
      <name val="Arial"/>
      <family val="2"/>
      <charset val="204"/>
    </font>
    <font>
      <sz val="11"/>
      <color theme="1"/>
      <name val="Arial"/>
      <family val="2"/>
      <charset val="204"/>
    </font>
    <font>
      <sz val="10"/>
      <color theme="0"/>
      <name val="Calibri"/>
      <family val="2"/>
      <scheme val="minor"/>
    </font>
    <font>
      <b/>
      <u/>
      <sz val="11"/>
      <name val="Calibri"/>
      <family val="2"/>
      <charset val="204"/>
      <scheme val="minor"/>
    </font>
    <font>
      <b/>
      <sz val="11"/>
      <name val="Calibri"/>
      <family val="2"/>
      <charset val="204"/>
      <scheme val="minor"/>
    </font>
    <font>
      <b/>
      <u/>
      <sz val="14"/>
      <color theme="0" tint="-0.499984740745262"/>
      <name val="Calibri"/>
      <family val="2"/>
      <scheme val="minor"/>
    </font>
    <font>
      <sz val="9"/>
      <color theme="0" tint="-0.499984740745262"/>
      <name val="Calibri"/>
      <family val="2"/>
      <scheme val="minor"/>
    </font>
    <font>
      <sz val="10"/>
      <name val="Calibri"/>
      <family val="2"/>
      <scheme val="minor"/>
    </font>
    <font>
      <b/>
      <u/>
      <sz val="11"/>
      <color theme="1"/>
      <name val="Calibri"/>
      <family val="2"/>
      <charset val="204"/>
      <scheme val="minor"/>
    </font>
    <font>
      <sz val="9"/>
      <color indexed="81"/>
      <name val="Tahoma"/>
      <family val="2"/>
      <charset val="238"/>
    </font>
    <font>
      <sz val="6"/>
      <color rgb="FFFFFF00"/>
      <name val="Arial"/>
      <family val="2"/>
    </font>
    <font>
      <sz val="14"/>
      <color rgb="FFFFFF00"/>
      <name val="Arial"/>
      <family val="2"/>
    </font>
    <font>
      <b/>
      <sz val="14"/>
      <color theme="0"/>
      <name val="Arial"/>
      <family val="2"/>
      <charset val="204"/>
    </font>
    <font>
      <b/>
      <sz val="11"/>
      <color theme="0"/>
      <name val="Arial"/>
      <family val="2"/>
    </font>
    <font>
      <b/>
      <sz val="12"/>
      <color theme="0"/>
      <name val="Arial"/>
      <family val="2"/>
    </font>
    <font>
      <b/>
      <sz val="14"/>
      <color theme="0"/>
      <name val="Calibri"/>
      <family val="2"/>
      <scheme val="minor"/>
    </font>
    <font>
      <b/>
      <u/>
      <sz val="12"/>
      <color theme="0"/>
      <name val="Arial"/>
      <family val="2"/>
    </font>
    <font>
      <b/>
      <sz val="20"/>
      <color theme="0"/>
      <name val="Calibri"/>
      <family val="2"/>
    </font>
    <font>
      <b/>
      <sz val="12"/>
      <color theme="0"/>
      <name val="Calibri"/>
      <family val="2"/>
      <scheme val="minor"/>
    </font>
    <font>
      <b/>
      <sz val="16"/>
      <color theme="0"/>
      <name val="Calibri"/>
      <family val="2"/>
      <scheme val="minor"/>
    </font>
    <font>
      <b/>
      <sz val="12"/>
      <color theme="0"/>
      <name val="Calibri"/>
      <family val="2"/>
    </font>
    <font>
      <b/>
      <sz val="11"/>
      <color theme="1"/>
      <name val="Calibri"/>
      <family val="2"/>
      <charset val="238"/>
      <scheme val="minor"/>
    </font>
    <font>
      <b/>
      <sz val="16"/>
      <color theme="0"/>
      <name val="Arial"/>
      <family val="2"/>
      <charset val="204"/>
    </font>
    <font>
      <sz val="11"/>
      <color rgb="FFFF0000"/>
      <name val="Calibri"/>
      <family val="2"/>
      <scheme val="minor"/>
    </font>
    <font>
      <b/>
      <sz val="11"/>
      <color theme="0"/>
      <name val="Arial"/>
      <family val="2"/>
      <charset val="204"/>
    </font>
    <font>
      <b/>
      <u/>
      <sz val="11"/>
      <color theme="0"/>
      <name val="Calibri"/>
      <family val="2"/>
      <scheme val="minor"/>
    </font>
    <font>
      <b/>
      <sz val="12"/>
      <color rgb="FFFFFF00"/>
      <name val="Arial"/>
      <family val="2"/>
      <charset val="204"/>
    </font>
    <font>
      <b/>
      <sz val="10"/>
      <color indexed="81"/>
      <name val="Tahoma"/>
      <family val="2"/>
      <charset val="204"/>
    </font>
    <font>
      <sz val="10"/>
      <color indexed="81"/>
      <name val="Tahoma"/>
      <family val="2"/>
      <charset val="204"/>
    </font>
    <font>
      <b/>
      <sz val="10"/>
      <color theme="0"/>
      <name val="Calibri"/>
      <family val="2"/>
      <scheme val="minor"/>
    </font>
    <font>
      <b/>
      <sz val="18"/>
      <color theme="0"/>
      <name val="Calibri"/>
      <family val="2"/>
    </font>
    <font>
      <sz val="11"/>
      <color theme="3"/>
      <name val="Calibri"/>
      <family val="2"/>
      <scheme val="minor"/>
    </font>
    <font>
      <b/>
      <sz val="11"/>
      <color theme="3"/>
      <name val="Calibri"/>
      <family val="2"/>
    </font>
    <font>
      <sz val="16"/>
      <color theme="0"/>
      <name val="Arial"/>
      <family val="2"/>
    </font>
    <font>
      <sz val="6"/>
      <color rgb="FF003B92"/>
      <name val="Arial"/>
      <family val="2"/>
    </font>
    <font>
      <b/>
      <sz val="22"/>
      <color theme="0"/>
      <name val="Arial"/>
      <family val="2"/>
      <charset val="204"/>
    </font>
    <font>
      <b/>
      <sz val="12"/>
      <color theme="5" tint="0.39997558519241921"/>
      <name val="Arial"/>
      <family val="2"/>
      <charset val="204"/>
    </font>
    <font>
      <b/>
      <sz val="11"/>
      <color rgb="FF000000"/>
      <name val="Calibri"/>
      <family val="2"/>
      <charset val="204"/>
      <scheme val="minor"/>
    </font>
    <font>
      <u/>
      <sz val="11"/>
      <color rgb="FF000000"/>
      <name val="Calibri"/>
      <family val="2"/>
      <charset val="204"/>
      <scheme val="minor"/>
    </font>
    <font>
      <b/>
      <u/>
      <sz val="14"/>
      <color theme="0"/>
      <name val="Calibri"/>
      <family val="2"/>
      <charset val="204"/>
      <scheme val="minor"/>
    </font>
    <font>
      <b/>
      <sz val="9"/>
      <color indexed="81"/>
      <name val="Tahoma"/>
      <family val="2"/>
      <charset val="204"/>
    </font>
    <font>
      <sz val="9"/>
      <color indexed="81"/>
      <name val="Tahoma"/>
      <family val="2"/>
      <charset val="204"/>
    </font>
    <font>
      <b/>
      <sz val="11"/>
      <color theme="5" tint="0.39997558519241921"/>
      <name val="Arial"/>
      <family val="2"/>
      <charset val="204"/>
    </font>
    <font>
      <u/>
      <sz val="14"/>
      <color theme="10"/>
      <name val="Calibri"/>
      <family val="2"/>
      <charset val="204"/>
      <scheme val="minor"/>
    </font>
    <font>
      <sz val="14"/>
      <name val="Calibri"/>
      <family val="2"/>
      <charset val="204"/>
      <scheme val="minor"/>
    </font>
    <font>
      <sz val="14"/>
      <name val="Calibri"/>
      <family val="2"/>
      <charset val="204"/>
    </font>
  </fonts>
  <fills count="40">
    <fill>
      <patternFill patternType="none"/>
    </fill>
    <fill>
      <patternFill patternType="gray125"/>
    </fill>
    <fill>
      <patternFill patternType="solid">
        <fgColor theme="4"/>
        <bgColor indexed="64"/>
      </patternFill>
    </fill>
    <fill>
      <patternFill patternType="solid">
        <fgColor theme="7" tint="0.79998168889431442"/>
        <bgColor theme="4" tint="0.59999389629810485"/>
      </patternFill>
    </fill>
    <fill>
      <patternFill patternType="solid">
        <fgColor theme="7" tint="0.59999389629810485"/>
        <bgColor theme="4" tint="0.59999389629810485"/>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4" tint="-0.249977111117893"/>
        <bgColor indexed="64"/>
      </patternFill>
    </fill>
    <fill>
      <patternFill patternType="solid">
        <fgColor rgb="FF003882"/>
        <bgColor indexed="64"/>
      </patternFill>
    </fill>
    <fill>
      <patternFill patternType="solid">
        <fgColor rgb="FF003882"/>
        <bgColor theme="4" tint="0.59999389629810485"/>
      </patternFill>
    </fill>
    <fill>
      <patternFill patternType="solid">
        <fgColor rgb="FF001F4D"/>
        <bgColor indexed="64"/>
      </patternFill>
    </fill>
    <fill>
      <patternFill patternType="solid">
        <fgColor rgb="FF003178"/>
        <bgColor indexed="64"/>
      </patternFill>
    </fill>
    <fill>
      <patternFill patternType="solid">
        <fgColor rgb="FFECF1FF"/>
        <bgColor indexed="64"/>
      </patternFill>
    </fill>
    <fill>
      <patternFill patternType="solid">
        <fgColor rgb="FFECF1FF"/>
        <bgColor theme="4" tint="0.59999389629810485"/>
      </patternFill>
    </fill>
    <fill>
      <patternFill patternType="solid">
        <fgColor rgb="FF7FBCFF"/>
        <bgColor indexed="64"/>
      </patternFill>
    </fill>
    <fill>
      <patternFill patternType="solid">
        <fgColor theme="0"/>
        <bgColor theme="4" tint="0.59999389629810485"/>
      </patternFill>
    </fill>
    <fill>
      <patternFill patternType="solid">
        <fgColor rgb="FFEDF2FF"/>
        <bgColor indexed="64"/>
      </patternFill>
    </fill>
    <fill>
      <patternFill patternType="solid">
        <fgColor theme="7" tint="0.79998168889431442"/>
        <bgColor indexed="64"/>
      </patternFill>
    </fill>
    <fill>
      <patternFill patternType="solid">
        <fgColor rgb="FFEEF3FF"/>
        <bgColor indexed="64"/>
      </patternFill>
    </fill>
    <fill>
      <patternFill patternType="solid">
        <fgColor theme="7"/>
        <bgColor theme="4" tint="0.59999389629810485"/>
      </patternFill>
    </fill>
    <fill>
      <patternFill patternType="solid">
        <fgColor rgb="FFEFF4FF"/>
        <bgColor indexed="64"/>
      </patternFill>
    </fill>
    <fill>
      <patternFill patternType="solid">
        <fgColor rgb="FF005ABE"/>
        <bgColor indexed="64"/>
      </patternFill>
    </fill>
    <fill>
      <patternFill patternType="solid">
        <fgColor theme="7" tint="0.59999389629810485"/>
        <bgColor indexed="64"/>
      </patternFill>
    </fill>
    <fill>
      <patternFill patternType="solid">
        <fgColor rgb="FFF0F5FF"/>
        <bgColor indexed="64"/>
      </patternFill>
    </fill>
    <fill>
      <patternFill patternType="solid">
        <fgColor theme="4" tint="0.79998168889431442"/>
        <bgColor theme="4" tint="0.79998168889431442"/>
      </patternFill>
    </fill>
    <fill>
      <patternFill patternType="solid">
        <fgColor rgb="FFF3F7FF"/>
        <bgColor indexed="64"/>
      </patternFill>
    </fill>
    <fill>
      <patternFill patternType="solid">
        <fgColor theme="6" tint="0.79998168889431442"/>
        <bgColor indexed="64"/>
      </patternFill>
    </fill>
    <fill>
      <patternFill patternType="solid">
        <fgColor rgb="FFFFFCF3"/>
        <bgColor theme="4" tint="0.59999389629810485"/>
      </patternFill>
    </fill>
    <fill>
      <patternFill patternType="solid">
        <fgColor rgb="FFFEF2EC"/>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CF3"/>
        <bgColor indexed="64"/>
      </patternFill>
    </fill>
    <fill>
      <patternFill patternType="solid">
        <fgColor rgb="FFFDDECF"/>
        <bgColor theme="4" tint="0.59999389629810485"/>
      </patternFill>
    </fill>
    <fill>
      <patternFill patternType="solid">
        <fgColor theme="0" tint="-0.14999847407452621"/>
        <bgColor theme="4" tint="0.59999389629810485"/>
      </patternFill>
    </fill>
    <fill>
      <patternFill patternType="solid">
        <fgColor theme="2"/>
        <bgColor indexed="64"/>
      </patternFill>
    </fill>
    <fill>
      <patternFill patternType="solid">
        <fgColor rgb="FFFFFFFF"/>
        <bgColor rgb="FF000000"/>
      </patternFill>
    </fill>
  </fills>
  <borders count="2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medium">
        <color indexed="64"/>
      </right>
      <top style="medium">
        <color indexed="64"/>
      </top>
      <bottom/>
      <diagonal/>
    </border>
    <border>
      <left style="thin">
        <color indexed="64"/>
      </left>
      <right style="thin">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auto="1"/>
      </left>
      <right style="medium">
        <color indexed="64"/>
      </right>
      <top/>
      <bottom/>
      <diagonal/>
    </border>
    <border>
      <left style="thin">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thin">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dotted">
        <color indexed="64"/>
      </left>
      <right style="dotted">
        <color indexed="64"/>
      </right>
      <top/>
      <bottom style="medium">
        <color indexed="64"/>
      </bottom>
      <diagonal/>
    </border>
    <border>
      <left style="thin">
        <color auto="1"/>
      </left>
      <right style="thin">
        <color auto="1"/>
      </right>
      <top style="medium">
        <color indexed="64"/>
      </top>
      <bottom/>
      <diagonal/>
    </border>
    <border>
      <left/>
      <right style="thin">
        <color auto="1"/>
      </right>
      <top style="medium">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theme="1"/>
      </bottom>
      <diagonal/>
    </border>
    <border>
      <left/>
      <right/>
      <top/>
      <bottom style="thin">
        <color theme="1"/>
      </bottom>
      <diagonal/>
    </border>
    <border>
      <left style="thin">
        <color indexed="64"/>
      </left>
      <right style="thin">
        <color indexed="64"/>
      </right>
      <top/>
      <bottom style="thin">
        <color theme="1"/>
      </bottom>
      <diagonal/>
    </border>
    <border>
      <left style="thin">
        <color indexed="64"/>
      </left>
      <right style="thin">
        <color indexed="64"/>
      </right>
      <top style="thin">
        <color theme="1"/>
      </top>
      <bottom/>
      <diagonal/>
    </border>
    <border>
      <left style="thin">
        <color indexed="64"/>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theme="1"/>
      </bottom>
      <diagonal/>
    </border>
    <border>
      <left style="thin">
        <color theme="1"/>
      </left>
      <right/>
      <top/>
      <bottom style="thin">
        <color indexed="64"/>
      </bottom>
      <diagonal/>
    </border>
    <border>
      <left/>
      <right style="thin">
        <color theme="1"/>
      </right>
      <top/>
      <bottom style="thin">
        <color theme="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dotted">
        <color indexed="64"/>
      </left>
      <right style="dotted">
        <color indexed="64"/>
      </right>
      <top/>
      <bottom/>
      <diagonal/>
    </border>
    <border>
      <left style="dotted">
        <color indexed="64"/>
      </left>
      <right style="medium">
        <color indexed="64"/>
      </right>
      <top/>
      <bottom/>
      <diagonal/>
    </border>
    <border>
      <left/>
      <right/>
      <top style="thin">
        <color theme="4" tint="0.39997558519241921"/>
      </top>
      <bottom/>
      <diagonal/>
    </border>
    <border>
      <left style="thin">
        <color indexed="64"/>
      </left>
      <right/>
      <top style="thin">
        <color indexed="64"/>
      </top>
      <bottom style="thin">
        <color indexed="64"/>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
      <left/>
      <right style="thin">
        <color indexed="64"/>
      </right>
      <top style="thin">
        <color theme="4" tint="0.39997558519241921"/>
      </top>
      <bottom/>
      <diagonal/>
    </border>
    <border>
      <left style="thin">
        <color indexed="64"/>
      </left>
      <right style="thin">
        <color indexed="64"/>
      </right>
      <top style="thin">
        <color theme="4" tint="0.39997558519241921"/>
      </top>
      <bottom style="thin">
        <color indexed="64"/>
      </bottom>
      <diagonal/>
    </border>
    <border>
      <left/>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indexed="64"/>
      </bottom>
      <diagonal/>
    </border>
    <border>
      <left style="thin">
        <color indexed="64"/>
      </left>
      <right/>
      <top/>
      <bottom style="dotted">
        <color indexed="64"/>
      </bottom>
      <diagonal/>
    </border>
    <border>
      <left/>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indexed="64"/>
      </right>
      <top style="thin">
        <color theme="1"/>
      </top>
      <bottom/>
      <diagonal/>
    </border>
    <border>
      <left style="thin">
        <color theme="0"/>
      </left>
      <right style="thin">
        <color indexed="64"/>
      </right>
      <top style="medium">
        <color theme="0"/>
      </top>
      <bottom style="medium">
        <color theme="0"/>
      </bottom>
      <diagonal/>
    </border>
    <border>
      <left style="thin">
        <color theme="0"/>
      </left>
      <right style="thin">
        <color indexed="64"/>
      </right>
      <top style="medium">
        <color theme="0"/>
      </top>
      <bottom style="thin">
        <color theme="0"/>
      </bottom>
      <diagonal/>
    </border>
    <border>
      <left style="thin">
        <color theme="0"/>
      </left>
      <right style="thin">
        <color indexed="64"/>
      </right>
      <top style="medium">
        <color theme="0"/>
      </top>
      <bottom/>
      <diagonal/>
    </border>
    <border>
      <left/>
      <right/>
      <top style="medium">
        <color theme="0"/>
      </top>
      <bottom/>
      <diagonal/>
    </border>
    <border>
      <left/>
      <right style="thin">
        <color indexed="64"/>
      </right>
      <top style="medium">
        <color theme="0"/>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medium">
        <color indexed="64"/>
      </top>
      <bottom style="medium">
        <color indexed="64"/>
      </bottom>
      <diagonal/>
    </border>
    <border>
      <left style="thin">
        <color indexed="64"/>
      </left>
      <right/>
      <top style="thin">
        <color theme="4" tint="0.39997558519241921"/>
      </top>
      <bottom style="thin">
        <color indexed="64"/>
      </bottom>
      <diagonal/>
    </border>
    <border>
      <left/>
      <right/>
      <top/>
      <bottom style="medium">
        <color theme="0"/>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right style="medium">
        <color indexed="64"/>
      </right>
      <top/>
      <bottom style="thin">
        <color theme="1"/>
      </bottom>
      <diagonal/>
    </border>
    <border>
      <left/>
      <right style="medium">
        <color indexed="64"/>
      </right>
      <top style="medium">
        <color theme="1"/>
      </top>
      <bottom/>
      <diagonal/>
    </border>
    <border>
      <left/>
      <right style="medium">
        <color indexed="64"/>
      </right>
      <top/>
      <bottom style="medium">
        <color theme="1"/>
      </bottom>
      <diagonal/>
    </border>
    <border>
      <left/>
      <right style="dotted">
        <color indexed="64"/>
      </right>
      <top style="dotted">
        <color indexed="64"/>
      </top>
      <bottom style="dotted">
        <color indexed="64"/>
      </bottom>
      <diagonal/>
    </border>
    <border>
      <left/>
      <right style="dotted">
        <color indexed="64"/>
      </right>
      <top/>
      <bottom/>
      <diagonal/>
    </border>
    <border>
      <left style="medium">
        <color indexed="64"/>
      </left>
      <right style="thin">
        <color indexed="64"/>
      </right>
      <top style="dotted">
        <color indexed="64"/>
      </top>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top/>
      <bottom style="dotted">
        <color indexed="64"/>
      </bottom>
      <diagonal/>
    </border>
    <border>
      <left style="medium">
        <color auto="1"/>
      </left>
      <right style="thin">
        <color indexed="64"/>
      </right>
      <top style="dotted">
        <color auto="1"/>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auto="1"/>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auto="1"/>
      </top>
      <bottom/>
      <diagonal/>
    </border>
    <border>
      <left style="medium">
        <color auto="1"/>
      </left>
      <right style="thin">
        <color indexed="64"/>
      </right>
      <top style="dotted">
        <color auto="1"/>
      </top>
      <bottom style="dotted">
        <color indexed="64"/>
      </bottom>
      <diagonal/>
    </border>
    <border>
      <left/>
      <right style="thin">
        <color indexed="64"/>
      </right>
      <top style="dotted">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right style="dotted">
        <color indexed="64"/>
      </right>
      <top/>
      <bottom style="dotted">
        <color indexed="64"/>
      </bottom>
      <diagonal/>
    </border>
    <border>
      <left/>
      <right style="dotted">
        <color indexed="64"/>
      </right>
      <top/>
      <bottom style="medium">
        <color indexed="64"/>
      </bottom>
      <diagonal/>
    </border>
    <border>
      <left style="dotted">
        <color indexed="64"/>
      </left>
      <right style="medium">
        <color indexed="64"/>
      </right>
      <top/>
      <bottom style="medium">
        <color indexed="64"/>
      </bottom>
      <diagonal/>
    </border>
    <border>
      <left/>
      <right style="thin">
        <color auto="1"/>
      </right>
      <top/>
      <bottom style="medium">
        <color indexed="64"/>
      </bottom>
      <diagonal/>
    </border>
    <border>
      <left/>
      <right style="medium">
        <color indexed="64"/>
      </right>
      <top style="thin">
        <color theme="0"/>
      </top>
      <bottom/>
      <diagonal/>
    </border>
    <border>
      <left style="thin">
        <color theme="0"/>
      </left>
      <right/>
      <top style="thin">
        <color theme="0"/>
      </top>
      <bottom/>
      <diagonal/>
    </border>
    <border>
      <left style="thin">
        <color theme="0"/>
      </left>
      <right/>
      <top/>
      <bottom/>
      <diagonal/>
    </border>
    <border>
      <left style="thin">
        <color theme="0"/>
      </left>
      <right/>
      <top/>
      <bottom style="medium">
        <color theme="0"/>
      </bottom>
      <diagonal/>
    </border>
    <border>
      <left style="thin">
        <color theme="0"/>
      </left>
      <right/>
      <top style="medium">
        <color theme="0"/>
      </top>
      <bottom style="thin">
        <color theme="0"/>
      </bottom>
      <diagonal/>
    </border>
    <border>
      <left style="thin">
        <color theme="0"/>
      </left>
      <right/>
      <top style="thin">
        <color theme="0"/>
      </top>
      <bottom style="thin">
        <color theme="0"/>
      </bottom>
      <diagonal/>
    </border>
    <border>
      <left style="thin">
        <color theme="0"/>
      </left>
      <right style="medium">
        <color indexed="64"/>
      </right>
      <top style="thin">
        <color theme="0"/>
      </top>
      <bottom/>
      <diagonal/>
    </border>
    <border>
      <left style="thin">
        <color theme="0"/>
      </left>
      <right style="medium">
        <color indexed="64"/>
      </right>
      <top/>
      <bottom/>
      <diagonal/>
    </border>
    <border>
      <left style="thin">
        <color theme="0"/>
      </left>
      <right style="medium">
        <color indexed="64"/>
      </right>
      <top/>
      <bottom style="thin">
        <color theme="0"/>
      </bottom>
      <diagonal/>
    </border>
    <border>
      <left/>
      <right/>
      <top style="thin">
        <color theme="1"/>
      </top>
      <bottom/>
      <diagonal/>
    </border>
    <border>
      <left style="medium">
        <color indexed="64"/>
      </left>
      <right/>
      <top style="dotted">
        <color indexed="64"/>
      </top>
      <bottom style="dotted">
        <color indexed="64"/>
      </bottom>
      <diagonal/>
    </border>
    <border>
      <left/>
      <right/>
      <top style="medium">
        <color theme="0"/>
      </top>
      <bottom style="thin">
        <color theme="0"/>
      </bottom>
      <diagonal/>
    </border>
    <border>
      <left/>
      <right/>
      <top style="thin">
        <color theme="0"/>
      </top>
      <bottom style="medium">
        <color theme="0"/>
      </bottom>
      <diagonal/>
    </border>
    <border>
      <left style="medium">
        <color indexed="64"/>
      </left>
      <right style="medium">
        <color indexed="64"/>
      </right>
      <top style="thin">
        <color indexed="64"/>
      </top>
      <bottom/>
      <diagonal/>
    </border>
    <border>
      <left/>
      <right style="medium">
        <color indexed="64"/>
      </right>
      <top style="dotted">
        <color auto="1"/>
      </top>
      <bottom style="dotted">
        <color auto="1"/>
      </bottom>
      <diagonal/>
    </border>
    <border>
      <left style="medium">
        <color indexed="64"/>
      </left>
      <right style="medium">
        <color indexed="64"/>
      </right>
      <top/>
      <bottom style="thin">
        <color theme="1"/>
      </bottom>
      <diagonal/>
    </border>
    <border>
      <left/>
      <right/>
      <top style="medium">
        <color indexed="64"/>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medium">
        <color theme="0"/>
      </bottom>
      <diagonal/>
    </border>
    <border>
      <left style="medium">
        <color indexed="64"/>
      </left>
      <right/>
      <top style="medium">
        <color theme="0"/>
      </top>
      <bottom/>
      <diagonal/>
    </border>
    <border>
      <left style="medium">
        <color indexed="64"/>
      </left>
      <right style="thin">
        <color theme="0"/>
      </right>
      <top style="medium">
        <color theme="0"/>
      </top>
      <bottom style="medium">
        <color theme="0"/>
      </bottom>
      <diagonal/>
    </border>
    <border>
      <left style="medium">
        <color indexed="64"/>
      </left>
      <right style="thin">
        <color theme="0"/>
      </right>
      <top style="medium">
        <color theme="0"/>
      </top>
      <bottom/>
      <diagonal/>
    </border>
    <border>
      <left style="medium">
        <color indexed="64"/>
      </left>
      <right style="thin">
        <color theme="0"/>
      </right>
      <top/>
      <bottom/>
      <diagonal/>
    </border>
    <border>
      <left style="medium">
        <color indexed="64"/>
      </left>
      <right style="thin">
        <color theme="0"/>
      </right>
      <top/>
      <bottom style="medium">
        <color theme="0"/>
      </bottom>
      <diagonal/>
    </border>
    <border>
      <left style="medium">
        <color indexed="64"/>
      </left>
      <right style="thin">
        <color theme="0"/>
      </right>
      <top/>
      <bottom style="thin">
        <color theme="0"/>
      </bottom>
      <diagonal/>
    </border>
    <border>
      <left style="medium">
        <color indexed="64"/>
      </left>
      <right style="medium">
        <color indexed="64"/>
      </right>
      <top style="thin">
        <color theme="1"/>
      </top>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diagonal/>
    </border>
    <border>
      <left style="medium">
        <color auto="1"/>
      </left>
      <right/>
      <top style="dotted">
        <color auto="1"/>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diagonal/>
    </border>
    <border>
      <left style="thin">
        <color indexed="64"/>
      </left>
      <right/>
      <top style="dotted">
        <color indexed="64"/>
      </top>
      <bottom style="medium">
        <color indexed="64"/>
      </bottom>
      <diagonal/>
    </border>
    <border>
      <left style="thin">
        <color indexed="64"/>
      </left>
      <right/>
      <top style="dotted">
        <color indexed="64"/>
      </top>
      <bottom/>
      <diagonal/>
    </border>
    <border>
      <left/>
      <right style="thin">
        <color indexed="64"/>
      </right>
      <top/>
      <bottom style="dott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right/>
      <top/>
      <bottom style="thin">
        <color rgb="FF000000"/>
      </bottom>
      <diagonal/>
    </border>
    <border>
      <left style="medium">
        <color indexed="64"/>
      </left>
      <right style="medium">
        <color indexed="64"/>
      </right>
      <top/>
      <bottom style="thin">
        <color rgb="FF000000"/>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medium">
        <color indexed="64"/>
      </left>
      <right style="medium">
        <color indexed="64"/>
      </right>
      <top style="medium">
        <color indexed="64"/>
      </top>
      <bottom style="thin">
        <color theme="0"/>
      </bottom>
      <diagonal/>
    </border>
    <border>
      <left/>
      <right/>
      <top/>
      <bottom style="thin">
        <color indexed="64"/>
      </bottom>
      <diagonal/>
    </border>
    <border>
      <left style="medium">
        <color theme="0"/>
      </left>
      <right/>
      <top style="medium">
        <color theme="0"/>
      </top>
      <bottom/>
      <diagonal/>
    </border>
    <border>
      <left style="medium">
        <color theme="0"/>
      </left>
      <right/>
      <top/>
      <bottom/>
      <diagonal/>
    </border>
    <border>
      <left style="medium">
        <color theme="0"/>
      </left>
      <right/>
      <top/>
      <bottom style="medium">
        <color theme="0"/>
      </bottom>
      <diagonal/>
    </border>
    <border>
      <left style="medium">
        <color indexed="64"/>
      </left>
      <right/>
      <top style="medium">
        <color theme="0"/>
      </top>
      <bottom style="thin">
        <color theme="0"/>
      </bottom>
      <diagonal/>
    </border>
    <border>
      <left/>
      <right style="medium">
        <color auto="1"/>
      </right>
      <top style="medium">
        <color theme="0"/>
      </top>
      <bottom style="thin">
        <color theme="0"/>
      </bottom>
      <diagonal/>
    </border>
    <border>
      <left style="dotted">
        <color indexed="64"/>
      </left>
      <right style="dotted">
        <color indexed="64"/>
      </right>
      <top style="dotted">
        <color indexed="64"/>
      </top>
      <bottom/>
      <diagonal/>
    </border>
    <border>
      <left/>
      <right style="medium">
        <color indexed="64"/>
      </right>
      <top/>
      <bottom style="dotted">
        <color auto="1"/>
      </bottom>
      <diagonal/>
    </border>
    <border>
      <left/>
      <right style="dotted">
        <color indexed="64"/>
      </right>
      <top style="thin">
        <color indexed="64"/>
      </top>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thin">
        <color indexed="64"/>
      </bottom>
      <diagonal/>
    </border>
    <border>
      <left style="dotted">
        <color indexed="64"/>
      </left>
      <right style="dotted">
        <color indexed="64"/>
      </right>
      <top style="thin">
        <color indexed="64"/>
      </top>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theme="0"/>
      </top>
      <bottom/>
      <diagonal/>
    </border>
    <border>
      <left style="thin">
        <color indexed="64"/>
      </left>
      <right style="medium">
        <color indexed="64"/>
      </right>
      <top style="thin">
        <color theme="0"/>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auto="1"/>
      </right>
      <top style="medium">
        <color theme="0"/>
      </top>
      <bottom/>
      <diagonal/>
    </border>
    <border>
      <left/>
      <right style="medium">
        <color auto="1"/>
      </right>
      <top/>
      <bottom style="medium">
        <color theme="0"/>
      </bottom>
      <diagonal/>
    </border>
    <border>
      <left style="thin">
        <color indexed="64"/>
      </left>
      <right style="medium">
        <color indexed="64"/>
      </right>
      <top style="medium">
        <color indexed="64"/>
      </top>
      <bottom style="medium">
        <color indexed="64"/>
      </bottom>
      <diagonal/>
    </border>
    <border>
      <left/>
      <right style="dotted">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auto="1"/>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theme="0"/>
      </top>
      <bottom/>
      <diagonal/>
    </border>
    <border>
      <left/>
      <right/>
      <top style="thin">
        <color theme="0"/>
      </top>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auto="1"/>
      </left>
      <right style="medium">
        <color indexed="64"/>
      </right>
      <top style="thin">
        <color indexed="64"/>
      </top>
      <bottom style="thin">
        <color theme="0"/>
      </bottom>
      <diagonal/>
    </border>
    <border>
      <left/>
      <right style="medium">
        <color indexed="64"/>
      </right>
      <top style="thin">
        <color theme="0"/>
      </top>
      <bottom style="medium">
        <color indexed="64"/>
      </bottom>
      <diagonal/>
    </border>
    <border>
      <left/>
      <right style="thin">
        <color indexed="64"/>
      </right>
      <top style="thin">
        <color theme="0"/>
      </top>
      <bottom style="medium">
        <color indexed="64"/>
      </bottom>
      <diagonal/>
    </border>
    <border>
      <left style="thin">
        <color indexed="64"/>
      </left>
      <right/>
      <top/>
      <bottom style="thin">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diagonal/>
    </border>
    <border>
      <left style="thin">
        <color indexed="64"/>
      </left>
      <right style="dotted">
        <color indexed="64"/>
      </right>
      <top/>
      <bottom style="medium">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thin">
        <color indexed="64"/>
      </top>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bottom style="dotted">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style="medium">
        <color indexed="64"/>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9">
    <xf numFmtId="0" fontId="0" fillId="0" borderId="0"/>
    <xf numFmtId="164" fontId="1"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6" fillId="0" borderId="0" applyNumberFormat="0" applyFill="0" applyBorder="0" applyAlignment="0" applyProtection="0"/>
    <xf numFmtId="0" fontId="29"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947">
    <xf numFmtId="0" fontId="0" fillId="0" borderId="0" xfId="0"/>
    <xf numFmtId="0" fontId="3" fillId="0" borderId="0" xfId="2" applyProtection="1">
      <protection hidden="1"/>
    </xf>
    <xf numFmtId="0" fontId="0" fillId="0" borderId="0" xfId="0" applyProtection="1">
      <protection hidden="1"/>
    </xf>
    <xf numFmtId="2" fontId="0" fillId="0" borderId="0" xfId="0" applyNumberFormat="1" applyProtection="1">
      <protection hidden="1"/>
    </xf>
    <xf numFmtId="0" fontId="0" fillId="0" borderId="0" xfId="0" applyAlignment="1" applyProtection="1">
      <alignment vertical="center"/>
      <protection hidden="1"/>
    </xf>
    <xf numFmtId="0" fontId="0" fillId="0" borderId="0" xfId="0" applyAlignment="1">
      <alignment vertical="center"/>
    </xf>
    <xf numFmtId="0" fontId="14" fillId="0" borderId="0" xfId="0" applyFont="1"/>
    <xf numFmtId="0" fontId="14" fillId="0" borderId="0" xfId="0" applyFont="1" applyAlignment="1">
      <alignment vertical="center"/>
    </xf>
    <xf numFmtId="0" fontId="21" fillId="17" borderId="0" xfId="0" applyFont="1" applyFill="1" applyAlignment="1" applyProtection="1">
      <alignment horizontal="right" vertical="center"/>
      <protection hidden="1"/>
    </xf>
    <xf numFmtId="0" fontId="14" fillId="6" borderId="31" xfId="0" applyFont="1" applyFill="1" applyBorder="1" applyAlignment="1" applyProtection="1">
      <alignment horizontal="right" vertical="center"/>
      <protection hidden="1"/>
    </xf>
    <xf numFmtId="0" fontId="14" fillId="6" borderId="36" xfId="0" applyFont="1" applyFill="1" applyBorder="1" applyAlignment="1" applyProtection="1">
      <alignment horizontal="right" vertical="center"/>
      <protection hidden="1"/>
    </xf>
    <xf numFmtId="0" fontId="18" fillId="6" borderId="31" xfId="5" applyFont="1" applyFill="1" applyBorder="1" applyAlignment="1" applyProtection="1">
      <alignment horizontal="right" vertical="center"/>
      <protection hidden="1"/>
    </xf>
    <xf numFmtId="0" fontId="14" fillId="21" borderId="31" xfId="0" applyFont="1" applyFill="1" applyBorder="1" applyAlignment="1" applyProtection="1">
      <alignment horizontal="right" vertical="center"/>
      <protection hidden="1"/>
    </xf>
    <xf numFmtId="0" fontId="17" fillId="2" borderId="31" xfId="0" applyFont="1" applyFill="1" applyBorder="1" applyAlignment="1" applyProtection="1">
      <alignment horizontal="center" vertical="center" wrapText="1"/>
      <protection hidden="1"/>
    </xf>
    <xf numFmtId="0" fontId="17" fillId="2" borderId="0" xfId="0" applyFont="1" applyFill="1" applyAlignment="1" applyProtection="1">
      <alignment horizontal="center" vertical="center" wrapText="1"/>
      <protection hidden="1"/>
    </xf>
    <xf numFmtId="0" fontId="14" fillId="6" borderId="42" xfId="0" applyFont="1" applyFill="1" applyBorder="1" applyAlignment="1" applyProtection="1">
      <alignment horizontal="right" vertical="center"/>
      <protection hidden="1"/>
    </xf>
    <xf numFmtId="0" fontId="14" fillId="21" borderId="42" xfId="0" applyFont="1" applyFill="1" applyBorder="1" applyAlignment="1" applyProtection="1">
      <alignment horizontal="right" vertical="center"/>
      <protection hidden="1"/>
    </xf>
    <xf numFmtId="0" fontId="14" fillId="23" borderId="40" xfId="0" applyFont="1" applyFill="1" applyBorder="1" applyAlignment="1" applyProtection="1">
      <alignment horizontal="right" vertical="center"/>
      <protection hidden="1"/>
    </xf>
    <xf numFmtId="0" fontId="21" fillId="24" borderId="0" xfId="0" applyFont="1" applyFill="1" applyAlignment="1" applyProtection="1">
      <alignment horizontal="right" vertical="center"/>
      <protection hidden="1"/>
    </xf>
    <xf numFmtId="0" fontId="19" fillId="11" borderId="39" xfId="0" applyFont="1" applyFill="1" applyBorder="1" applyAlignment="1">
      <alignment horizontal="center" vertical="center" wrapText="1" readingOrder="1"/>
    </xf>
    <xf numFmtId="0" fontId="15" fillId="24" borderId="0" xfId="0" applyFont="1" applyFill="1" applyAlignment="1" applyProtection="1">
      <alignment horizontal="right" vertical="center"/>
      <protection hidden="1"/>
    </xf>
    <xf numFmtId="170" fontId="20" fillId="17" borderId="0" xfId="1" applyNumberFormat="1" applyFont="1" applyFill="1" applyBorder="1" applyAlignment="1" applyProtection="1">
      <alignment horizontal="center" vertical="center"/>
      <protection hidden="1"/>
    </xf>
    <xf numFmtId="0" fontId="22" fillId="11" borderId="0" xfId="0" applyFont="1" applyFill="1" applyAlignment="1" applyProtection="1">
      <alignment horizontal="right" vertical="center" wrapText="1" readingOrder="1"/>
      <protection hidden="1"/>
    </xf>
    <xf numFmtId="1" fontId="23" fillId="3" borderId="31" xfId="0" applyNumberFormat="1" applyFont="1" applyFill="1" applyBorder="1" applyAlignment="1" applyProtection="1">
      <alignment horizontal="center" vertical="center"/>
      <protection locked="0"/>
    </xf>
    <xf numFmtId="1" fontId="23" fillId="4" borderId="31" xfId="0" applyNumberFormat="1" applyFont="1" applyFill="1" applyBorder="1" applyAlignment="1" applyProtection="1">
      <alignment horizontal="center" vertical="center"/>
      <protection locked="0"/>
    </xf>
    <xf numFmtId="168" fontId="23" fillId="4" borderId="31" xfId="0" applyNumberFormat="1" applyFont="1" applyFill="1" applyBorder="1" applyAlignment="1" applyProtection="1">
      <alignment horizontal="center" vertical="center"/>
      <protection locked="0"/>
    </xf>
    <xf numFmtId="0" fontId="24" fillId="11" borderId="32" xfId="0" applyFont="1" applyFill="1" applyBorder="1" applyAlignment="1" applyProtection="1">
      <alignment horizontal="center" vertical="center"/>
      <protection locked="0"/>
    </xf>
    <xf numFmtId="168" fontId="23" fillId="3" borderId="31" xfId="0" applyNumberFormat="1" applyFont="1" applyFill="1" applyBorder="1" applyAlignment="1" applyProtection="1">
      <alignment horizontal="center" vertical="center"/>
      <protection locked="0"/>
    </xf>
    <xf numFmtId="168" fontId="23" fillId="4" borderId="36" xfId="0" applyNumberFormat="1" applyFont="1" applyFill="1" applyBorder="1" applyAlignment="1" applyProtection="1">
      <alignment horizontal="center" vertical="center"/>
      <protection locked="0"/>
    </xf>
    <xf numFmtId="0" fontId="23" fillId="12" borderId="32" xfId="0" applyFont="1" applyFill="1" applyBorder="1" applyAlignment="1" applyProtection="1">
      <alignment horizontal="center" vertical="center"/>
      <protection locked="0"/>
    </xf>
    <xf numFmtId="1" fontId="23" fillId="4" borderId="38" xfId="0" applyNumberFormat="1" applyFont="1" applyFill="1" applyBorder="1" applyAlignment="1" applyProtection="1">
      <alignment horizontal="center" vertical="center"/>
      <protection locked="0"/>
    </xf>
    <xf numFmtId="1" fontId="23" fillId="3" borderId="43" xfId="0" applyNumberFormat="1" applyFont="1" applyFill="1" applyBorder="1" applyAlignment="1" applyProtection="1">
      <alignment horizontal="center" vertical="center"/>
      <protection locked="0"/>
    </xf>
    <xf numFmtId="1" fontId="23" fillId="4" borderId="43" xfId="0" applyNumberFormat="1" applyFont="1" applyFill="1" applyBorder="1" applyAlignment="1" applyProtection="1">
      <alignment horizontal="center" vertical="center"/>
      <protection locked="0"/>
    </xf>
    <xf numFmtId="168" fontId="23" fillId="20" borderId="31" xfId="0" applyNumberFormat="1" applyFont="1" applyFill="1" applyBorder="1" applyAlignment="1" applyProtection="1">
      <alignment horizontal="center" vertical="center"/>
      <protection locked="0"/>
    </xf>
    <xf numFmtId="1" fontId="23" fillId="20" borderId="31" xfId="0" applyNumberFormat="1" applyFont="1" applyFill="1" applyBorder="1" applyAlignment="1" applyProtection="1">
      <alignment horizontal="center" vertical="center"/>
      <protection locked="0"/>
    </xf>
    <xf numFmtId="0" fontId="23" fillId="11" borderId="32" xfId="0" applyFont="1" applyFill="1" applyBorder="1" applyAlignment="1" applyProtection="1">
      <alignment horizontal="center" vertical="center"/>
      <protection locked="0"/>
    </xf>
    <xf numFmtId="168" fontId="23" fillId="25" borderId="38" xfId="0" applyNumberFormat="1" applyFont="1" applyFill="1" applyBorder="1" applyAlignment="1" applyProtection="1">
      <alignment horizontal="center" vertical="center"/>
      <protection locked="0"/>
    </xf>
    <xf numFmtId="0" fontId="23" fillId="12" borderId="32" xfId="0" applyFont="1" applyFill="1" applyBorder="1" applyAlignment="1" applyProtection="1">
      <alignment vertical="center" wrapText="1"/>
      <protection locked="0"/>
    </xf>
    <xf numFmtId="168" fontId="23" fillId="25" borderId="36" xfId="0" applyNumberFormat="1" applyFont="1" applyFill="1" applyBorder="1" applyAlignment="1" applyProtection="1">
      <alignment horizontal="center" vertical="center"/>
      <protection locked="0"/>
    </xf>
    <xf numFmtId="0" fontId="25" fillId="17" borderId="0" xfId="0" applyFont="1" applyFill="1" applyAlignment="1" applyProtection="1">
      <alignment horizontal="right" vertical="center"/>
      <protection hidden="1"/>
    </xf>
    <xf numFmtId="170" fontId="26" fillId="24" borderId="0" xfId="1" applyNumberFormat="1" applyFont="1" applyFill="1" applyBorder="1" applyAlignment="1" applyProtection="1">
      <alignment horizontal="center" vertical="center"/>
      <protection hidden="1"/>
    </xf>
    <xf numFmtId="0" fontId="15" fillId="24" borderId="47" xfId="0" applyFont="1" applyFill="1" applyBorder="1" applyAlignment="1" applyProtection="1">
      <alignment horizontal="right" vertical="center"/>
      <protection hidden="1"/>
    </xf>
    <xf numFmtId="1" fontId="23" fillId="4" borderId="49" xfId="0" applyNumberFormat="1" applyFont="1" applyFill="1" applyBorder="1" applyAlignment="1" applyProtection="1">
      <alignment horizontal="center" vertical="center"/>
      <protection locked="0"/>
    </xf>
    <xf numFmtId="0" fontId="3" fillId="6" borderId="51" xfId="2" applyFill="1" applyBorder="1" applyAlignment="1" applyProtection="1">
      <alignment horizontal="center"/>
      <protection hidden="1"/>
    </xf>
    <xf numFmtId="1" fontId="3" fillId="3" borderId="51" xfId="2" applyNumberFormat="1" applyFill="1" applyBorder="1" applyAlignment="1" applyProtection="1">
      <alignment horizontal="center"/>
      <protection locked="0"/>
    </xf>
    <xf numFmtId="0" fontId="3" fillId="7" borderId="35" xfId="2" applyFill="1" applyBorder="1" applyAlignment="1" applyProtection="1">
      <alignment horizontal="center"/>
      <protection hidden="1"/>
    </xf>
    <xf numFmtId="1" fontId="3" fillId="4" borderId="35" xfId="2" applyNumberFormat="1" applyFill="1" applyBorder="1" applyAlignment="1" applyProtection="1">
      <alignment horizontal="center"/>
      <protection locked="0"/>
    </xf>
    <xf numFmtId="0" fontId="3" fillId="6" borderId="35" xfId="2" applyFill="1" applyBorder="1" applyAlignment="1" applyProtection="1">
      <alignment horizontal="center"/>
      <protection hidden="1"/>
    </xf>
    <xf numFmtId="1" fontId="3" fillId="3" borderId="35" xfId="2" applyNumberFormat="1" applyFill="1" applyBorder="1" applyAlignment="1" applyProtection="1">
      <alignment horizontal="center"/>
      <protection locked="0"/>
    </xf>
    <xf numFmtId="0" fontId="3" fillId="7" borderId="52" xfId="2" applyFill="1" applyBorder="1" applyAlignment="1" applyProtection="1">
      <alignment horizontal="center"/>
      <protection hidden="1"/>
    </xf>
    <xf numFmtId="1" fontId="3" fillId="4" borderId="52" xfId="2" applyNumberFormat="1" applyFill="1" applyBorder="1" applyAlignment="1" applyProtection="1">
      <alignment horizontal="center"/>
      <protection locked="0"/>
    </xf>
    <xf numFmtId="0" fontId="34" fillId="0" borderId="59" xfId="0" applyFont="1" applyBorder="1" applyAlignment="1">
      <alignment horizontal="center" vertical="center"/>
    </xf>
    <xf numFmtId="0" fontId="34" fillId="27" borderId="59" xfId="0" applyFont="1" applyFill="1" applyBorder="1" applyAlignment="1">
      <alignment horizontal="center" vertical="center"/>
    </xf>
    <xf numFmtId="0" fontId="34" fillId="27" borderId="59" xfId="0" applyFont="1" applyFill="1" applyBorder="1" applyAlignment="1">
      <alignment vertical="center"/>
    </xf>
    <xf numFmtId="169" fontId="14" fillId="22" borderId="60" xfId="1" applyNumberFormat="1" applyFont="1" applyFill="1" applyBorder="1" applyAlignment="1" applyProtection="1">
      <alignment horizontal="center" vertical="center"/>
      <protection locked="0"/>
    </xf>
    <xf numFmtId="0" fontId="33" fillId="0" borderId="0" xfId="0" applyFont="1"/>
    <xf numFmtId="168" fontId="23" fillId="3" borderId="36" xfId="0" applyNumberFormat="1" applyFont="1" applyFill="1" applyBorder="1" applyAlignment="1" applyProtection="1">
      <alignment horizontal="center" vertical="center"/>
      <protection locked="0"/>
    </xf>
    <xf numFmtId="0" fontId="14" fillId="6" borderId="33" xfId="0" applyFont="1" applyFill="1" applyBorder="1" applyAlignment="1" applyProtection="1">
      <alignment horizontal="right" vertical="center"/>
      <protection hidden="1"/>
    </xf>
    <xf numFmtId="0" fontId="18" fillId="17" borderId="26" xfId="0" applyFont="1" applyFill="1" applyBorder="1" applyAlignment="1" applyProtection="1">
      <alignment horizontal="left" vertical="center" wrapText="1" indent="1"/>
      <protection hidden="1"/>
    </xf>
    <xf numFmtId="0" fontId="32" fillId="9" borderId="34" xfId="0" applyFont="1" applyFill="1" applyBorder="1" applyAlignment="1">
      <alignment horizontal="center"/>
    </xf>
    <xf numFmtId="0" fontId="34" fillId="27" borderId="63" xfId="0" applyFont="1" applyFill="1" applyBorder="1" applyAlignment="1">
      <alignment vertical="center"/>
    </xf>
    <xf numFmtId="0" fontId="3" fillId="28" borderId="0" xfId="2" applyFill="1" applyProtection="1">
      <protection hidden="1"/>
    </xf>
    <xf numFmtId="0" fontId="3" fillId="6" borderId="7" xfId="2" applyFill="1" applyBorder="1" applyProtection="1">
      <protection hidden="1"/>
    </xf>
    <xf numFmtId="171" fontId="3" fillId="6" borderId="53" xfId="7" applyNumberFormat="1" applyFont="1" applyFill="1" applyBorder="1" applyAlignment="1" applyProtection="1">
      <alignment horizontal="center"/>
      <protection hidden="1"/>
    </xf>
    <xf numFmtId="0" fontId="3" fillId="7" borderId="7" xfId="2" applyFill="1" applyBorder="1" applyProtection="1">
      <protection hidden="1"/>
    </xf>
    <xf numFmtId="171" fontId="3" fillId="7" borderId="54" xfId="7" applyNumberFormat="1" applyFont="1" applyFill="1" applyBorder="1" applyAlignment="1" applyProtection="1">
      <alignment horizontal="center"/>
      <protection hidden="1"/>
    </xf>
    <xf numFmtId="171" fontId="3" fillId="6" borderId="54" xfId="7" applyNumberFormat="1" applyFont="1" applyFill="1" applyBorder="1" applyAlignment="1" applyProtection="1">
      <alignment horizontal="center"/>
      <protection hidden="1"/>
    </xf>
    <xf numFmtId="0" fontId="3" fillId="7" borderId="8" xfId="2" applyFill="1" applyBorder="1" applyProtection="1">
      <protection hidden="1"/>
    </xf>
    <xf numFmtId="171" fontId="3" fillId="7" borderId="55" xfId="7" applyNumberFormat="1" applyFont="1" applyFill="1" applyBorder="1" applyAlignment="1" applyProtection="1">
      <alignment horizontal="center"/>
      <protection hidden="1"/>
    </xf>
    <xf numFmtId="172" fontId="2" fillId="8" borderId="11" xfId="4" applyNumberFormat="1" applyFont="1" applyFill="1" applyBorder="1" applyAlignment="1" applyProtection="1">
      <alignment horizontal="center"/>
      <protection hidden="1"/>
    </xf>
    <xf numFmtId="171" fontId="2" fillId="8" borderId="11" xfId="4" applyNumberFormat="1" applyFont="1" applyFill="1" applyBorder="1" applyAlignment="1" applyProtection="1">
      <alignment horizontal="center"/>
      <protection hidden="1"/>
    </xf>
    <xf numFmtId="0" fontId="42" fillId="29" borderId="67" xfId="2" applyFont="1" applyFill="1" applyBorder="1" applyProtection="1">
      <protection hidden="1"/>
    </xf>
    <xf numFmtId="1" fontId="42" fillId="30" borderId="68" xfId="2" applyNumberFormat="1" applyFont="1" applyFill="1" applyBorder="1" applyAlignment="1" applyProtection="1">
      <alignment horizontal="center"/>
      <protection locked="0"/>
    </xf>
    <xf numFmtId="0" fontId="42" fillId="29" borderId="8" xfId="2" applyFont="1" applyFill="1" applyBorder="1" applyProtection="1">
      <protection hidden="1"/>
    </xf>
    <xf numFmtId="166" fontId="42" fillId="30" borderId="10" xfId="2" applyNumberFormat="1" applyFont="1" applyFill="1" applyBorder="1" applyAlignment="1" applyProtection="1">
      <alignment horizontal="center"/>
      <protection locked="0"/>
    </xf>
    <xf numFmtId="0" fontId="3" fillId="28" borderId="69" xfId="2" applyFill="1" applyBorder="1" applyProtection="1">
      <protection hidden="1"/>
    </xf>
    <xf numFmtId="0" fontId="3" fillId="31" borderId="0" xfId="2" applyFill="1" applyProtection="1">
      <protection hidden="1"/>
    </xf>
    <xf numFmtId="0" fontId="3" fillId="25" borderId="4" xfId="2" applyFill="1" applyBorder="1" applyProtection="1">
      <protection hidden="1"/>
    </xf>
    <xf numFmtId="166" fontId="3" fillId="3" borderId="6" xfId="2" applyNumberFormat="1" applyFill="1" applyBorder="1" applyAlignment="1" applyProtection="1">
      <alignment horizontal="center"/>
      <protection locked="0"/>
    </xf>
    <xf numFmtId="0" fontId="3" fillId="31" borderId="0" xfId="2" applyFill="1" applyAlignment="1" applyProtection="1">
      <alignment wrapText="1"/>
      <protection hidden="1"/>
    </xf>
    <xf numFmtId="0" fontId="5" fillId="34" borderId="56" xfId="2" applyFont="1" applyFill="1" applyBorder="1" applyAlignment="1" applyProtection="1">
      <alignment horizontal="center" vertical="center" wrapText="1"/>
      <protection hidden="1"/>
    </xf>
    <xf numFmtId="0" fontId="5" fillId="34" borderId="6" xfId="2" applyFont="1" applyFill="1" applyBorder="1" applyAlignment="1" applyProtection="1">
      <alignment horizontal="center" vertical="center" wrapText="1"/>
      <protection hidden="1"/>
    </xf>
    <xf numFmtId="0" fontId="5" fillId="34" borderId="5" xfId="2" applyFont="1" applyFill="1" applyBorder="1" applyAlignment="1" applyProtection="1">
      <alignment horizontal="center" vertical="center" wrapText="1"/>
      <protection hidden="1"/>
    </xf>
    <xf numFmtId="0" fontId="2" fillId="34" borderId="50" xfId="2" applyFont="1" applyFill="1" applyBorder="1" applyAlignment="1" applyProtection="1">
      <alignment horizontal="center" vertical="center" wrapText="1"/>
      <protection hidden="1"/>
    </xf>
    <xf numFmtId="0" fontId="2" fillId="34" borderId="6" xfId="2" applyFont="1" applyFill="1" applyBorder="1" applyAlignment="1" applyProtection="1">
      <alignment horizontal="center" vertical="center" wrapText="1"/>
      <protection hidden="1"/>
    </xf>
    <xf numFmtId="0" fontId="3" fillId="6" borderId="53" xfId="2" applyFill="1" applyBorder="1" applyAlignment="1" applyProtection="1">
      <alignment horizontal="center"/>
      <protection hidden="1"/>
    </xf>
    <xf numFmtId="1" fontId="3" fillId="35" borderId="2" xfId="2" applyNumberFormat="1" applyFill="1" applyBorder="1" applyAlignment="1" applyProtection="1">
      <alignment horizontal="center"/>
      <protection locked="0"/>
    </xf>
    <xf numFmtId="4" fontId="3" fillId="6" borderId="14" xfId="7" applyNumberFormat="1" applyFont="1" applyFill="1" applyBorder="1" applyAlignment="1" applyProtection="1">
      <alignment horizontal="center"/>
      <protection hidden="1"/>
    </xf>
    <xf numFmtId="4" fontId="3" fillId="6" borderId="53" xfId="7" applyNumberFormat="1" applyFont="1" applyFill="1" applyBorder="1" applyAlignment="1" applyProtection="1">
      <alignment horizontal="center"/>
      <protection hidden="1"/>
    </xf>
    <xf numFmtId="0" fontId="3" fillId="31" borderId="7" xfId="2" applyFill="1" applyBorder="1" applyProtection="1">
      <protection hidden="1"/>
    </xf>
    <xf numFmtId="0" fontId="3" fillId="31" borderId="54" xfId="2" applyFill="1" applyBorder="1" applyAlignment="1" applyProtection="1">
      <alignment horizontal="center"/>
      <protection hidden="1"/>
    </xf>
    <xf numFmtId="1" fontId="3" fillId="36" borderId="0" xfId="2" applyNumberFormat="1" applyFill="1" applyAlignment="1" applyProtection="1">
      <alignment horizontal="center"/>
      <protection locked="0"/>
    </xf>
    <xf numFmtId="4" fontId="3" fillId="31" borderId="17" xfId="7" applyNumberFormat="1" applyFont="1" applyFill="1" applyBorder="1" applyAlignment="1" applyProtection="1">
      <alignment horizontal="center"/>
      <protection hidden="1"/>
    </xf>
    <xf numFmtId="4" fontId="3" fillId="31" borderId="54" xfId="7" applyNumberFormat="1" applyFont="1" applyFill="1" applyBorder="1" applyAlignment="1" applyProtection="1">
      <alignment horizontal="center"/>
      <protection hidden="1"/>
    </xf>
    <xf numFmtId="0" fontId="3" fillId="6" borderId="54" xfId="2" applyFill="1" applyBorder="1" applyAlignment="1" applyProtection="1">
      <alignment horizontal="center"/>
      <protection hidden="1"/>
    </xf>
    <xf numFmtId="1" fontId="3" fillId="30" borderId="0" xfId="2" applyNumberFormat="1" applyFill="1" applyAlignment="1" applyProtection="1">
      <alignment horizontal="center"/>
      <protection locked="0"/>
    </xf>
    <xf numFmtId="4" fontId="3" fillId="6" borderId="17" xfId="7" applyNumberFormat="1" applyFont="1" applyFill="1" applyBorder="1" applyAlignment="1" applyProtection="1">
      <alignment horizontal="center"/>
      <protection hidden="1"/>
    </xf>
    <xf numFmtId="4" fontId="3" fillId="6" borderId="54" xfId="7" applyNumberFormat="1" applyFont="1" applyFill="1" applyBorder="1" applyAlignment="1" applyProtection="1">
      <alignment horizontal="center"/>
      <protection hidden="1"/>
    </xf>
    <xf numFmtId="0" fontId="3" fillId="31" borderId="8" xfId="2" applyFill="1" applyBorder="1" applyProtection="1">
      <protection hidden="1"/>
    </xf>
    <xf numFmtId="0" fontId="3" fillId="31" borderId="55" xfId="2" applyFill="1" applyBorder="1" applyAlignment="1" applyProtection="1">
      <alignment horizontal="center"/>
      <protection hidden="1"/>
    </xf>
    <xf numFmtId="1" fontId="3" fillId="36" borderId="9" xfId="2" applyNumberFormat="1" applyFill="1" applyBorder="1" applyAlignment="1" applyProtection="1">
      <alignment horizontal="center"/>
      <protection locked="0"/>
    </xf>
    <xf numFmtId="4" fontId="3" fillId="31" borderId="11" xfId="7" applyNumberFormat="1" applyFont="1" applyFill="1" applyBorder="1" applyAlignment="1" applyProtection="1">
      <alignment horizontal="center"/>
      <protection hidden="1"/>
    </xf>
    <xf numFmtId="4" fontId="3" fillId="31" borderId="55" xfId="7" applyNumberFormat="1" applyFont="1" applyFill="1" applyBorder="1" applyAlignment="1" applyProtection="1">
      <alignment horizontal="center"/>
      <protection hidden="1"/>
    </xf>
    <xf numFmtId="3" fontId="2" fillId="34" borderId="5" xfId="4" applyNumberFormat="1" applyFont="1" applyFill="1" applyBorder="1" applyAlignment="1" applyProtection="1">
      <alignment horizontal="center"/>
      <protection hidden="1"/>
    </xf>
    <xf numFmtId="4" fontId="2" fillId="34" borderId="50" xfId="4" applyNumberFormat="1" applyFont="1" applyFill="1" applyBorder="1" applyAlignment="1" applyProtection="1">
      <alignment horizontal="center"/>
      <protection hidden="1"/>
    </xf>
    <xf numFmtId="0" fontId="0" fillId="0" borderId="0" xfId="0" applyProtection="1">
      <protection locked="0"/>
    </xf>
    <xf numFmtId="0" fontId="18" fillId="17" borderId="48" xfId="0" applyFont="1" applyFill="1" applyBorder="1" applyAlignment="1" applyProtection="1">
      <alignment horizontal="left" vertical="center" wrapText="1" indent="1"/>
      <protection hidden="1"/>
    </xf>
    <xf numFmtId="0" fontId="46" fillId="11" borderId="0" xfId="0" applyFont="1" applyFill="1" applyAlignment="1" applyProtection="1">
      <alignment horizontal="right" vertical="center" wrapText="1" readingOrder="1"/>
      <protection hidden="1"/>
    </xf>
    <xf numFmtId="0" fontId="47" fillId="11" borderId="39" xfId="0" applyFont="1" applyFill="1" applyBorder="1" applyAlignment="1">
      <alignment horizontal="center" vertical="center" wrapText="1" readingOrder="1"/>
    </xf>
    <xf numFmtId="0" fontId="10" fillId="27" borderId="59" xfId="0" applyFont="1" applyFill="1" applyBorder="1" applyAlignment="1">
      <alignment vertical="center"/>
    </xf>
    <xf numFmtId="0" fontId="10" fillId="27" borderId="63" xfId="0" applyFont="1" applyFill="1" applyBorder="1" applyAlignment="1">
      <alignment vertical="center"/>
    </xf>
    <xf numFmtId="0" fontId="10" fillId="0" borderId="59" xfId="0" applyFont="1" applyBorder="1" applyAlignment="1">
      <alignment vertical="center"/>
    </xf>
    <xf numFmtId="0" fontId="10" fillId="0" borderId="63" xfId="0" applyFont="1" applyBorder="1" applyAlignment="1">
      <alignment vertical="center"/>
    </xf>
    <xf numFmtId="0" fontId="14" fillId="21" borderId="26" xfId="0" applyFont="1" applyFill="1" applyBorder="1" applyAlignment="1" applyProtection="1">
      <alignment horizontal="right" vertical="center"/>
      <protection hidden="1"/>
    </xf>
    <xf numFmtId="0" fontId="0" fillId="7" borderId="22" xfId="0" applyFill="1" applyBorder="1" applyAlignment="1">
      <alignment horizontal="center" vertical="center"/>
    </xf>
    <xf numFmtId="0" fontId="0" fillId="7" borderId="27" xfId="0" applyFill="1" applyBorder="1" applyAlignment="1">
      <alignment horizontal="center" vertical="center"/>
    </xf>
    <xf numFmtId="0" fontId="0" fillId="7" borderId="20" xfId="0" applyFill="1" applyBorder="1" applyAlignment="1">
      <alignment horizontal="center" vertical="center"/>
    </xf>
    <xf numFmtId="170" fontId="26" fillId="24" borderId="31" xfId="1" applyNumberFormat="1" applyFont="1" applyFill="1" applyBorder="1" applyAlignment="1" applyProtection="1">
      <alignment horizontal="center" vertical="center"/>
      <protection hidden="1"/>
    </xf>
    <xf numFmtId="170" fontId="20" fillId="17" borderId="31" xfId="1" applyNumberFormat="1" applyFont="1" applyFill="1" applyBorder="1" applyAlignment="1" applyProtection="1">
      <alignment horizontal="center" vertical="center"/>
      <protection hidden="1"/>
    </xf>
    <xf numFmtId="0" fontId="0" fillId="7" borderId="15" xfId="0" applyFill="1" applyBorder="1" applyAlignment="1">
      <alignment horizontal="center" vertical="center"/>
    </xf>
    <xf numFmtId="0" fontId="0" fillId="7" borderId="18" xfId="0" applyFill="1" applyBorder="1" applyAlignment="1">
      <alignment horizontal="center" vertical="center"/>
    </xf>
    <xf numFmtId="0" fontId="0" fillId="7" borderId="24" xfId="0" applyFill="1" applyBorder="1" applyAlignment="1">
      <alignment horizontal="center" vertical="center"/>
    </xf>
    <xf numFmtId="0" fontId="34" fillId="27" borderId="65" xfId="0" applyFont="1" applyFill="1" applyBorder="1" applyAlignment="1">
      <alignment horizontal="center" vertical="center"/>
    </xf>
    <xf numFmtId="0" fontId="10" fillId="27" borderId="65" xfId="0" applyFont="1" applyFill="1" applyBorder="1" applyAlignment="1">
      <alignment vertical="center"/>
    </xf>
    <xf numFmtId="0" fontId="10" fillId="27" borderId="66" xfId="0" applyFont="1" applyFill="1" applyBorder="1" applyAlignment="1">
      <alignment vertical="center"/>
    </xf>
    <xf numFmtId="1" fontId="23" fillId="37" borderId="31" xfId="0" applyNumberFormat="1" applyFont="1" applyFill="1" applyBorder="1" applyAlignment="1" applyProtection="1">
      <alignment horizontal="center" vertical="center"/>
      <protection locked="0"/>
    </xf>
    <xf numFmtId="0" fontId="14" fillId="6" borderId="41" xfId="0" applyFont="1" applyFill="1" applyBorder="1" applyAlignment="1" applyProtection="1">
      <alignment horizontal="right" vertical="center"/>
      <protection hidden="1"/>
    </xf>
    <xf numFmtId="1" fontId="23" fillId="3" borderId="73" xfId="0" applyNumberFormat="1" applyFont="1" applyFill="1" applyBorder="1" applyAlignment="1" applyProtection="1">
      <alignment horizontal="center" vertical="center"/>
      <protection locked="0"/>
    </xf>
    <xf numFmtId="0" fontId="14" fillId="21" borderId="48" xfId="0" applyFont="1" applyFill="1" applyBorder="1" applyAlignment="1" applyProtection="1">
      <alignment horizontal="right" vertical="center"/>
      <protection hidden="1"/>
    </xf>
    <xf numFmtId="0" fontId="14" fillId="6" borderId="32" xfId="0" applyFont="1" applyFill="1" applyBorder="1" applyAlignment="1" applyProtection="1">
      <alignment horizontal="right" vertical="center"/>
      <protection hidden="1"/>
    </xf>
    <xf numFmtId="1" fontId="23" fillId="3" borderId="32" xfId="0" applyNumberFormat="1" applyFont="1" applyFill="1" applyBorder="1" applyAlignment="1" applyProtection="1">
      <alignment horizontal="center" vertical="center"/>
      <protection locked="0"/>
    </xf>
    <xf numFmtId="0" fontId="14" fillId="21" borderId="36" xfId="0" applyFont="1" applyFill="1" applyBorder="1" applyAlignment="1" applyProtection="1">
      <alignment horizontal="right" vertical="center"/>
      <protection hidden="1"/>
    </xf>
    <xf numFmtId="1" fontId="23" fillId="4" borderId="36" xfId="0" applyNumberFormat="1" applyFont="1" applyFill="1" applyBorder="1" applyAlignment="1" applyProtection="1">
      <alignment horizontal="center" vertical="center"/>
      <protection locked="0"/>
    </xf>
    <xf numFmtId="0" fontId="57" fillId="0" borderId="0" xfId="0" applyFont="1"/>
    <xf numFmtId="0" fontId="34" fillId="27" borderId="65" xfId="0" applyFont="1" applyFill="1" applyBorder="1" applyAlignment="1">
      <alignment vertical="center"/>
    </xf>
    <xf numFmtId="0" fontId="34" fillId="27" borderId="66" xfId="0" applyFont="1" applyFill="1" applyBorder="1" applyAlignment="1">
      <alignment vertical="center"/>
    </xf>
    <xf numFmtId="1" fontId="23" fillId="4" borderId="73" xfId="0" applyNumberFormat="1" applyFont="1" applyFill="1" applyBorder="1" applyAlignment="1" applyProtection="1">
      <alignment horizontal="center" vertical="center"/>
      <protection locked="0"/>
    </xf>
    <xf numFmtId="9" fontId="14" fillId="0" borderId="0" xfId="8" applyFont="1"/>
    <xf numFmtId="9" fontId="14" fillId="6" borderId="0" xfId="8" applyFont="1" applyFill="1"/>
    <xf numFmtId="9" fontId="18" fillId="0" borderId="0" xfId="8" applyFont="1"/>
    <xf numFmtId="0" fontId="59" fillId="0" borderId="0" xfId="0" applyFont="1"/>
    <xf numFmtId="0" fontId="11" fillId="0" borderId="0" xfId="0" applyFont="1"/>
    <xf numFmtId="0" fontId="0" fillId="7" borderId="94" xfId="0" applyFill="1" applyBorder="1" applyAlignment="1">
      <alignment horizontal="left" indent="1"/>
    </xf>
    <xf numFmtId="0" fontId="18" fillId="17" borderId="33" xfId="0" applyFont="1" applyFill="1" applyBorder="1" applyAlignment="1" applyProtection="1">
      <alignment horizontal="left" vertical="center" wrapText="1" indent="1"/>
      <protection hidden="1"/>
    </xf>
    <xf numFmtId="0" fontId="18" fillId="17" borderId="26" xfId="0" applyFont="1" applyFill="1" applyBorder="1" applyAlignment="1" applyProtection="1">
      <alignment horizontal="center" vertical="center" wrapText="1"/>
      <protection hidden="1"/>
    </xf>
    <xf numFmtId="0" fontId="18" fillId="17" borderId="33" xfId="0" applyFont="1" applyFill="1" applyBorder="1" applyAlignment="1" applyProtection="1">
      <alignment horizontal="left" vertical="center" indent="1"/>
      <protection hidden="1"/>
    </xf>
    <xf numFmtId="0" fontId="18" fillId="17" borderId="26" xfId="0" applyFont="1" applyFill="1" applyBorder="1" applyAlignment="1" applyProtection="1">
      <alignment horizontal="left" vertical="center" indent="1"/>
      <protection hidden="1"/>
    </xf>
    <xf numFmtId="0" fontId="0" fillId="7" borderId="100" xfId="0" applyFill="1" applyBorder="1" applyAlignment="1">
      <alignment horizontal="left" indent="1"/>
    </xf>
    <xf numFmtId="0" fontId="0" fillId="7" borderId="101" xfId="0" applyFill="1" applyBorder="1" applyAlignment="1">
      <alignment horizontal="left" indent="1"/>
    </xf>
    <xf numFmtId="0" fontId="0" fillId="7" borderId="102" xfId="0" applyFill="1" applyBorder="1" applyAlignment="1">
      <alignment horizontal="center" vertical="center"/>
    </xf>
    <xf numFmtId="0" fontId="0" fillId="7" borderId="103" xfId="0" applyFill="1" applyBorder="1" applyAlignment="1">
      <alignment horizontal="center" vertical="center"/>
    </xf>
    <xf numFmtId="0" fontId="0" fillId="7" borderId="104" xfId="0" applyFill="1" applyBorder="1" applyAlignment="1">
      <alignment horizontal="left" indent="1"/>
    </xf>
    <xf numFmtId="0" fontId="0" fillId="7" borderId="99" xfId="0" applyFill="1" applyBorder="1" applyAlignment="1">
      <alignment horizontal="left" indent="1"/>
    </xf>
    <xf numFmtId="0" fontId="0" fillId="7" borderId="105" xfId="0" applyFill="1" applyBorder="1" applyAlignment="1">
      <alignment horizontal="center" vertical="center"/>
    </xf>
    <xf numFmtId="0" fontId="12" fillId="7" borderId="101" xfId="0" applyFont="1" applyFill="1" applyBorder="1" applyAlignment="1">
      <alignment horizontal="left" indent="1"/>
    </xf>
    <xf numFmtId="1" fontId="23" fillId="4" borderId="33" xfId="0" applyNumberFormat="1" applyFont="1" applyFill="1" applyBorder="1" applyAlignment="1" applyProtection="1">
      <alignment horizontal="center" vertical="center"/>
      <protection locked="0"/>
    </xf>
    <xf numFmtId="1" fontId="23" fillId="3" borderId="33" xfId="0" applyNumberFormat="1" applyFont="1" applyFill="1" applyBorder="1" applyAlignment="1" applyProtection="1">
      <alignment horizontal="center" vertical="center"/>
      <protection locked="0"/>
    </xf>
    <xf numFmtId="168" fontId="23" fillId="3" borderId="33" xfId="0" applyNumberFormat="1" applyFont="1" applyFill="1" applyBorder="1" applyAlignment="1" applyProtection="1">
      <alignment horizontal="center" vertical="center"/>
      <protection locked="0"/>
    </xf>
    <xf numFmtId="168" fontId="23" fillId="4" borderId="33" xfId="0" applyNumberFormat="1" applyFont="1" applyFill="1" applyBorder="1" applyAlignment="1" applyProtection="1">
      <alignment horizontal="center" vertical="center"/>
      <protection locked="0"/>
    </xf>
    <xf numFmtId="0" fontId="14" fillId="15" borderId="37" xfId="0" applyFont="1" applyFill="1" applyBorder="1" applyAlignment="1" applyProtection="1">
      <alignment horizontal="right" vertical="center"/>
      <protection hidden="1"/>
    </xf>
    <xf numFmtId="1" fontId="23" fillId="4" borderId="37" xfId="0" applyNumberFormat="1" applyFont="1" applyFill="1" applyBorder="1" applyAlignment="1" applyProtection="1">
      <alignment horizontal="center" vertical="center"/>
      <protection locked="0"/>
    </xf>
    <xf numFmtId="0" fontId="14" fillId="15" borderId="33" xfId="0" applyFont="1" applyFill="1" applyBorder="1" applyAlignment="1" applyProtection="1">
      <alignment horizontal="right" vertical="center"/>
      <protection hidden="1"/>
    </xf>
    <xf numFmtId="0" fontId="37" fillId="6" borderId="33" xfId="0" applyFont="1" applyFill="1" applyBorder="1" applyAlignment="1" applyProtection="1">
      <alignment horizontal="right" vertical="center"/>
      <protection hidden="1"/>
    </xf>
    <xf numFmtId="0" fontId="14" fillId="26" borderId="33" xfId="0" applyFont="1" applyFill="1" applyBorder="1" applyAlignment="1" applyProtection="1">
      <alignment horizontal="right" vertical="center"/>
      <protection hidden="1"/>
    </xf>
    <xf numFmtId="0" fontId="14" fillId="6" borderId="26" xfId="0" applyFont="1" applyFill="1" applyBorder="1" applyAlignment="1" applyProtection="1">
      <alignment horizontal="right" vertical="center"/>
      <protection hidden="1"/>
    </xf>
    <xf numFmtId="168" fontId="23" fillId="3" borderId="26" xfId="0" applyNumberFormat="1" applyFont="1" applyFill="1" applyBorder="1" applyAlignment="1" applyProtection="1">
      <alignment horizontal="center" vertical="center"/>
      <protection locked="0"/>
    </xf>
    <xf numFmtId="0" fontId="24" fillId="11" borderId="31" xfId="0" applyFont="1" applyFill="1" applyBorder="1" applyAlignment="1" applyProtection="1">
      <alignment horizontal="center" vertical="center"/>
      <protection locked="0"/>
    </xf>
    <xf numFmtId="0" fontId="14" fillId="19" borderId="37" xfId="0" applyFont="1" applyFill="1" applyBorder="1" applyAlignment="1" applyProtection="1">
      <alignment horizontal="right" vertical="center"/>
      <protection hidden="1"/>
    </xf>
    <xf numFmtId="168" fontId="23" fillId="4" borderId="37" xfId="0" applyNumberFormat="1" applyFont="1" applyFill="1" applyBorder="1" applyAlignment="1" applyProtection="1">
      <alignment horizontal="center" vertical="center"/>
      <protection locked="0"/>
    </xf>
    <xf numFmtId="0" fontId="14" fillId="19" borderId="33" xfId="0" applyFont="1" applyFill="1" applyBorder="1" applyAlignment="1" applyProtection="1">
      <alignment horizontal="right" vertical="center"/>
      <protection hidden="1"/>
    </xf>
    <xf numFmtId="0" fontId="14" fillId="19" borderId="26" xfId="0" applyFont="1" applyFill="1" applyBorder="1" applyAlignment="1" applyProtection="1">
      <alignment horizontal="right" vertical="center"/>
      <protection hidden="1"/>
    </xf>
    <xf numFmtId="168" fontId="23" fillId="4" borderId="26" xfId="0" applyNumberFormat="1" applyFont="1" applyFill="1" applyBorder="1" applyAlignment="1" applyProtection="1">
      <alignment horizontal="center" vertical="center"/>
      <protection locked="0"/>
    </xf>
    <xf numFmtId="0" fontId="14" fillId="21" borderId="41" xfId="0" applyFont="1" applyFill="1" applyBorder="1" applyAlignment="1" applyProtection="1">
      <alignment horizontal="right" vertical="center"/>
      <protection hidden="1"/>
    </xf>
    <xf numFmtId="0" fontId="0" fillId="7" borderId="29" xfId="0" applyFill="1" applyBorder="1" applyAlignment="1">
      <alignment horizontal="center" vertical="center"/>
    </xf>
    <xf numFmtId="0" fontId="0" fillId="7" borderId="95" xfId="0" applyFill="1" applyBorder="1" applyAlignment="1">
      <alignment horizontal="left" indent="1"/>
    </xf>
    <xf numFmtId="0" fontId="0" fillId="7" borderId="96" xfId="0" applyFill="1" applyBorder="1" applyAlignment="1">
      <alignment horizontal="left" indent="1"/>
    </xf>
    <xf numFmtId="0" fontId="0" fillId="7" borderId="123" xfId="0" applyFill="1" applyBorder="1" applyAlignment="1">
      <alignment horizontal="left" indent="1"/>
    </xf>
    <xf numFmtId="0" fontId="12" fillId="7" borderId="123" xfId="0" applyFont="1" applyFill="1" applyBorder="1" applyAlignment="1">
      <alignment horizontal="left" indent="1"/>
    </xf>
    <xf numFmtId="0" fontId="0" fillId="7" borderId="97" xfId="0" applyFill="1" applyBorder="1" applyAlignment="1">
      <alignment horizontal="left" indent="1"/>
    </xf>
    <xf numFmtId="0" fontId="17" fillId="11" borderId="47" xfId="0" applyFont="1" applyFill="1" applyBorder="1" applyAlignment="1" applyProtection="1">
      <alignment horizontal="left" vertical="center" wrapText="1"/>
      <protection hidden="1"/>
    </xf>
    <xf numFmtId="0" fontId="23" fillId="11" borderId="126" xfId="0" applyFont="1" applyFill="1" applyBorder="1" applyAlignment="1" applyProtection="1">
      <alignment horizontal="center" vertical="center"/>
      <protection locked="0"/>
    </xf>
    <xf numFmtId="0" fontId="17" fillId="11" borderId="0" xfId="0" applyFont="1" applyFill="1" applyAlignment="1" applyProtection="1">
      <alignment horizontal="left" vertical="center" wrapText="1"/>
      <protection hidden="1"/>
    </xf>
    <xf numFmtId="0" fontId="23" fillId="12" borderId="17" xfId="0" applyFont="1" applyFill="1" applyBorder="1" applyAlignment="1" applyProtection="1">
      <alignment vertical="center" wrapText="1"/>
      <protection locked="0"/>
    </xf>
    <xf numFmtId="0" fontId="32" fillId="9" borderId="34" xfId="0" applyFont="1" applyFill="1" applyBorder="1" applyAlignment="1">
      <alignment horizontal="center" vertical="center"/>
    </xf>
    <xf numFmtId="0" fontId="32" fillId="9" borderId="37" xfId="0" applyFont="1" applyFill="1" applyBorder="1" applyAlignment="1">
      <alignment horizontal="center" vertical="center"/>
    </xf>
    <xf numFmtId="0" fontId="32" fillId="9" borderId="47" xfId="0" applyFont="1" applyFill="1" applyBorder="1" applyAlignment="1">
      <alignment horizontal="center" vertical="center"/>
    </xf>
    <xf numFmtId="0" fontId="32" fillId="9" borderId="32" xfId="0" applyFont="1" applyFill="1" applyBorder="1" applyAlignment="1">
      <alignment horizontal="center" vertical="center"/>
    </xf>
    <xf numFmtId="0" fontId="32" fillId="9" borderId="32" xfId="0" applyFont="1" applyFill="1" applyBorder="1" applyAlignment="1">
      <alignment horizontal="center" vertical="center" wrapText="1"/>
    </xf>
    <xf numFmtId="0" fontId="0" fillId="0" borderId="61" xfId="0" applyBorder="1" applyAlignment="1">
      <alignment horizontal="center"/>
    </xf>
    <xf numFmtId="0" fontId="0" fillId="0" borderId="62" xfId="0" applyBorder="1" applyAlignment="1">
      <alignment horizontal="center"/>
    </xf>
    <xf numFmtId="0" fontId="10" fillId="0" borderId="63" xfId="0" applyFont="1" applyBorder="1" applyAlignment="1">
      <alignment horizontal="center" vertical="center"/>
    </xf>
    <xf numFmtId="0" fontId="0" fillId="27" borderId="61" xfId="0" applyFill="1" applyBorder="1" applyAlignment="1">
      <alignment horizontal="center"/>
    </xf>
    <xf numFmtId="0" fontId="0" fillId="27" borderId="62" xfId="0" applyFill="1" applyBorder="1" applyAlignment="1">
      <alignment horizontal="center"/>
    </xf>
    <xf numFmtId="0" fontId="10" fillId="27" borderId="63" xfId="0" applyFont="1" applyFill="1" applyBorder="1" applyAlignment="1">
      <alignment horizontal="center" vertical="center"/>
    </xf>
    <xf numFmtId="0" fontId="0" fillId="27" borderId="84" xfId="0" applyFill="1" applyBorder="1" applyAlignment="1">
      <alignment horizontal="center"/>
    </xf>
    <xf numFmtId="0" fontId="0" fillId="27" borderId="64" xfId="0" applyFill="1" applyBorder="1" applyAlignment="1">
      <alignment horizontal="center"/>
    </xf>
    <xf numFmtId="0" fontId="10" fillId="27" borderId="66" xfId="0" applyFont="1" applyFill="1" applyBorder="1" applyAlignment="1">
      <alignment horizontal="center" vertical="center"/>
    </xf>
    <xf numFmtId="0" fontId="32" fillId="9" borderId="47" xfId="0" applyFont="1" applyFill="1" applyBorder="1"/>
    <xf numFmtId="0" fontId="32" fillId="9" borderId="32" xfId="0" applyFont="1" applyFill="1" applyBorder="1"/>
    <xf numFmtId="0" fontId="0" fillId="0" borderId="59" xfId="0" applyBorder="1" applyAlignment="1">
      <alignment vertical="center"/>
    </xf>
    <xf numFmtId="0" fontId="0" fillId="0" borderId="63" xfId="0" applyBorder="1" applyAlignment="1">
      <alignment vertical="center"/>
    </xf>
    <xf numFmtId="0" fontId="0" fillId="0" borderId="84" xfId="0" applyBorder="1" applyAlignment="1">
      <alignment horizontal="center"/>
    </xf>
    <xf numFmtId="0" fontId="0" fillId="0" borderId="65" xfId="0" applyBorder="1" applyAlignment="1">
      <alignment vertical="center"/>
    </xf>
    <xf numFmtId="0" fontId="0" fillId="0" borderId="66" xfId="0" applyBorder="1" applyAlignment="1">
      <alignment vertical="center"/>
    </xf>
    <xf numFmtId="0" fontId="26" fillId="24" borderId="0" xfId="0" applyFont="1" applyFill="1" applyAlignment="1" applyProtection="1">
      <alignment horizontal="center" vertical="center"/>
      <protection hidden="1"/>
    </xf>
    <xf numFmtId="0" fontId="14" fillId="15" borderId="9" xfId="0" applyFont="1" applyFill="1" applyBorder="1" applyAlignment="1" applyProtection="1">
      <alignment horizontal="center" vertical="center" wrapText="1"/>
      <protection hidden="1"/>
    </xf>
    <xf numFmtId="1" fontId="23" fillId="4" borderId="17" xfId="0" applyNumberFormat="1" applyFont="1" applyFill="1" applyBorder="1" applyAlignment="1" applyProtection="1">
      <alignment horizontal="center" vertical="center"/>
      <protection locked="0"/>
    </xf>
    <xf numFmtId="1" fontId="23" fillId="3" borderId="11" xfId="0" applyNumberFormat="1" applyFont="1" applyFill="1" applyBorder="1" applyAlignment="1" applyProtection="1">
      <alignment horizontal="center" vertical="center"/>
      <protection locked="0"/>
    </xf>
    <xf numFmtId="1" fontId="23" fillId="4" borderId="14" xfId="0" applyNumberFormat="1" applyFont="1" applyFill="1" applyBorder="1" applyAlignment="1" applyProtection="1">
      <alignment horizontal="center" vertical="center"/>
      <protection locked="0"/>
    </xf>
    <xf numFmtId="1" fontId="23" fillId="4" borderId="11" xfId="0" applyNumberFormat="1" applyFont="1" applyFill="1" applyBorder="1" applyAlignment="1" applyProtection="1">
      <alignment horizontal="center" vertical="center"/>
      <protection locked="0"/>
    </xf>
    <xf numFmtId="1" fontId="23" fillId="3" borderId="17" xfId="0" applyNumberFormat="1" applyFont="1" applyFill="1" applyBorder="1" applyAlignment="1" applyProtection="1">
      <alignment horizontal="center" vertical="center"/>
      <protection locked="0"/>
    </xf>
    <xf numFmtId="1" fontId="23" fillId="3" borderId="14" xfId="0" applyNumberFormat="1" applyFont="1" applyFill="1" applyBorder="1" applyAlignment="1" applyProtection="1">
      <alignment horizontal="center" vertical="center"/>
      <protection locked="0"/>
    </xf>
    <xf numFmtId="168" fontId="23" fillId="3" borderId="17" xfId="0" applyNumberFormat="1" applyFont="1" applyFill="1" applyBorder="1" applyAlignment="1" applyProtection="1">
      <alignment horizontal="center" vertical="center"/>
      <protection locked="0"/>
    </xf>
    <xf numFmtId="168" fontId="23" fillId="4" borderId="11" xfId="0" applyNumberFormat="1" applyFont="1" applyFill="1" applyBorder="1" applyAlignment="1" applyProtection="1">
      <alignment horizontal="center" vertical="center"/>
      <protection locked="0"/>
    </xf>
    <xf numFmtId="168" fontId="23" fillId="3" borderId="14" xfId="0" applyNumberFormat="1" applyFont="1" applyFill="1" applyBorder="1" applyAlignment="1" applyProtection="1">
      <alignment horizontal="center" vertical="center"/>
      <protection locked="0"/>
    </xf>
    <xf numFmtId="168" fontId="23" fillId="4" borderId="17" xfId="0" applyNumberFormat="1" applyFont="1" applyFill="1" applyBorder="1" applyAlignment="1" applyProtection="1">
      <alignment horizontal="center" vertical="center"/>
      <protection locked="0"/>
    </xf>
    <xf numFmtId="168" fontId="23" fillId="4" borderId="14" xfId="0" applyNumberFormat="1" applyFont="1" applyFill="1" applyBorder="1" applyAlignment="1" applyProtection="1">
      <alignment horizontal="center" vertical="center"/>
      <protection locked="0"/>
    </xf>
    <xf numFmtId="1" fontId="23" fillId="37" borderId="17" xfId="0" applyNumberFormat="1" applyFont="1" applyFill="1" applyBorder="1" applyAlignment="1" applyProtection="1">
      <alignment horizontal="center" vertical="center"/>
      <protection locked="0"/>
    </xf>
    <xf numFmtId="168" fontId="23" fillId="20" borderId="14" xfId="0" applyNumberFormat="1" applyFont="1" applyFill="1" applyBorder="1" applyAlignment="1" applyProtection="1">
      <alignment horizontal="center" vertical="center"/>
      <protection locked="0"/>
    </xf>
    <xf numFmtId="168" fontId="23" fillId="25" borderId="128" xfId="0" applyNumberFormat="1" applyFont="1" applyFill="1" applyBorder="1" applyAlignment="1" applyProtection="1">
      <alignment horizontal="center" vertical="center"/>
      <protection locked="0"/>
    </xf>
    <xf numFmtId="1" fontId="23" fillId="20" borderId="17" xfId="0" applyNumberFormat="1" applyFont="1" applyFill="1" applyBorder="1" applyAlignment="1" applyProtection="1">
      <alignment horizontal="center" vertical="center"/>
      <protection locked="0"/>
    </xf>
    <xf numFmtId="1" fontId="23" fillId="25" borderId="11" xfId="0" applyNumberFormat="1" applyFont="1" applyFill="1" applyBorder="1" applyAlignment="1" applyProtection="1">
      <alignment horizontal="center" vertical="center"/>
      <protection locked="0"/>
    </xf>
    <xf numFmtId="168" fontId="23" fillId="20" borderId="50" xfId="0" applyNumberFormat="1" applyFont="1" applyFill="1" applyBorder="1" applyAlignment="1" applyProtection="1">
      <alignment horizontal="center" vertical="center"/>
      <protection locked="0"/>
    </xf>
    <xf numFmtId="0" fontId="14" fillId="6" borderId="5" xfId="0" applyFont="1" applyFill="1" applyBorder="1" applyAlignment="1" applyProtection="1">
      <alignment horizontal="center" vertical="center"/>
      <protection hidden="1"/>
    </xf>
    <xf numFmtId="0" fontId="14" fillId="21" borderId="55" xfId="0" applyFont="1" applyFill="1" applyBorder="1" applyAlignment="1" applyProtection="1">
      <alignment horizontal="right" vertical="center" indent="1"/>
      <protection hidden="1"/>
    </xf>
    <xf numFmtId="0" fontId="14" fillId="6" borderId="54" xfId="0" applyFont="1" applyFill="1" applyBorder="1" applyAlignment="1" applyProtection="1">
      <alignment horizontal="right" vertical="center" indent="1"/>
      <protection hidden="1"/>
    </xf>
    <xf numFmtId="0" fontId="14" fillId="21" borderId="14" xfId="0" applyFont="1" applyFill="1" applyBorder="1" applyAlignment="1" applyProtection="1">
      <alignment horizontal="right" vertical="center" indent="1"/>
      <protection hidden="1"/>
    </xf>
    <xf numFmtId="0" fontId="14" fillId="6" borderId="11" xfId="0" applyFont="1" applyFill="1" applyBorder="1" applyAlignment="1" applyProtection="1">
      <alignment horizontal="right" vertical="center" indent="1"/>
      <protection hidden="1"/>
    </xf>
    <xf numFmtId="0" fontId="14" fillId="15" borderId="55" xfId="0" applyFont="1" applyFill="1" applyBorder="1" applyAlignment="1" applyProtection="1">
      <alignment horizontal="right" vertical="center" indent="1"/>
      <protection hidden="1"/>
    </xf>
    <xf numFmtId="0" fontId="14" fillId="6" borderId="53" xfId="0" applyFont="1" applyFill="1" applyBorder="1" applyAlignment="1" applyProtection="1">
      <alignment horizontal="right" vertical="center" indent="1"/>
      <protection hidden="1"/>
    </xf>
    <xf numFmtId="0" fontId="14" fillId="15" borderId="54" xfId="0" applyFont="1" applyFill="1" applyBorder="1" applyAlignment="1" applyProtection="1">
      <alignment horizontal="right" vertical="center" indent="1"/>
      <protection hidden="1"/>
    </xf>
    <xf numFmtId="0" fontId="18" fillId="15" borderId="54" xfId="0" applyFont="1" applyFill="1" applyBorder="1" applyAlignment="1" applyProtection="1">
      <alignment horizontal="right" vertical="center" indent="1"/>
      <protection hidden="1"/>
    </xf>
    <xf numFmtId="0" fontId="18" fillId="15" borderId="55" xfId="0" applyFont="1" applyFill="1" applyBorder="1" applyAlignment="1" applyProtection="1">
      <alignment horizontal="right" vertical="center" indent="1"/>
      <protection hidden="1"/>
    </xf>
    <xf numFmtId="0" fontId="14" fillId="15" borderId="11" xfId="0" applyFont="1" applyFill="1" applyBorder="1" applyAlignment="1" applyProtection="1">
      <alignment horizontal="right" vertical="center" indent="1"/>
      <protection hidden="1"/>
    </xf>
    <xf numFmtId="0" fontId="14" fillId="6" borderId="14" xfId="0" applyFont="1" applyFill="1" applyBorder="1" applyAlignment="1" applyProtection="1">
      <alignment horizontal="right" vertical="center" indent="1"/>
      <protection hidden="1"/>
    </xf>
    <xf numFmtId="0" fontId="14" fillId="23" borderId="128" xfId="0" applyFont="1" applyFill="1" applyBorder="1" applyAlignment="1" applyProtection="1">
      <alignment horizontal="right" vertical="center" indent="1"/>
      <protection hidden="1"/>
    </xf>
    <xf numFmtId="0" fontId="18" fillId="6" borderId="17" xfId="5" applyFont="1" applyFill="1" applyBorder="1" applyAlignment="1" applyProtection="1">
      <alignment horizontal="right" vertical="center" indent="1"/>
      <protection hidden="1"/>
    </xf>
    <xf numFmtId="0" fontId="18" fillId="6" borderId="139" xfId="0" applyFont="1" applyFill="1" applyBorder="1" applyAlignment="1" applyProtection="1">
      <alignment horizontal="right" vertical="center" indent="1"/>
      <protection hidden="1"/>
    </xf>
    <xf numFmtId="0" fontId="14" fillId="6" borderId="50" xfId="0" applyFont="1" applyFill="1" applyBorder="1" applyAlignment="1" applyProtection="1">
      <alignment horizontal="right" vertical="center" indent="1"/>
      <protection hidden="1"/>
    </xf>
    <xf numFmtId="0" fontId="17" fillId="2" borderId="11" xfId="0" applyFont="1" applyFill="1" applyBorder="1" applyAlignment="1" applyProtection="1">
      <alignment horizontal="center" vertical="center" wrapText="1"/>
      <protection hidden="1"/>
    </xf>
    <xf numFmtId="0" fontId="17" fillId="2" borderId="112" xfId="0" applyFont="1" applyFill="1" applyBorder="1" applyAlignment="1" applyProtection="1">
      <alignment horizontal="center" vertical="center" wrapText="1"/>
      <protection hidden="1"/>
    </xf>
    <xf numFmtId="0" fontId="17" fillId="2" borderId="10" xfId="0" applyFont="1" applyFill="1" applyBorder="1" applyAlignment="1" applyProtection="1">
      <alignment horizontal="center" vertical="center" wrapText="1"/>
      <protection hidden="1"/>
    </xf>
    <xf numFmtId="0" fontId="3" fillId="7" borderId="4" xfId="2" applyFill="1" applyBorder="1" applyAlignment="1">
      <alignment horizontal="left" vertical="center" indent="1"/>
    </xf>
    <xf numFmtId="0" fontId="0" fillId="7" borderId="12" xfId="0" applyFill="1" applyBorder="1" applyAlignment="1">
      <alignment horizontal="center" vertical="center"/>
    </xf>
    <xf numFmtId="0" fontId="0" fillId="7" borderId="144" xfId="0" applyFill="1" applyBorder="1" applyAlignment="1">
      <alignment horizontal="center" vertical="center"/>
    </xf>
    <xf numFmtId="0" fontId="0" fillId="7" borderId="70" xfId="0" applyFill="1" applyBorder="1" applyAlignment="1">
      <alignment horizontal="center" vertical="center"/>
    </xf>
    <xf numFmtId="0" fontId="0" fillId="7" borderId="147" xfId="0" applyFill="1" applyBorder="1" applyAlignment="1">
      <alignment horizontal="center" vertical="center"/>
    </xf>
    <xf numFmtId="0" fontId="0" fillId="7" borderId="33" xfId="0" applyFill="1" applyBorder="1" applyAlignment="1">
      <alignment horizontal="center" vertical="center"/>
    </xf>
    <xf numFmtId="0" fontId="0" fillId="7" borderId="35" xfId="0" applyFill="1" applyBorder="1" applyAlignment="1">
      <alignment horizontal="center" vertical="center"/>
    </xf>
    <xf numFmtId="0" fontId="0" fillId="7" borderId="48" xfId="0" applyFill="1" applyBorder="1" applyAlignment="1">
      <alignment horizontal="center" vertical="center"/>
    </xf>
    <xf numFmtId="0" fontId="0" fillId="7" borderId="60" xfId="0" applyFill="1" applyBorder="1" applyAlignment="1">
      <alignment horizontal="center" vertical="center"/>
    </xf>
    <xf numFmtId="0" fontId="10" fillId="7" borderId="123" xfId="0" applyFont="1" applyFill="1" applyBorder="1" applyAlignment="1">
      <alignment horizontal="left" indent="1"/>
    </xf>
    <xf numFmtId="0" fontId="3" fillId="7" borderId="123" xfId="2" applyFill="1" applyBorder="1" applyAlignment="1">
      <alignment horizontal="left" indent="1"/>
    </xf>
    <xf numFmtId="0" fontId="54" fillId="10" borderId="50" xfId="0" applyFont="1" applyFill="1" applyBorder="1" applyAlignment="1">
      <alignment horizontal="center" vertical="center" wrapText="1"/>
    </xf>
    <xf numFmtId="0" fontId="0" fillId="7" borderId="149" xfId="0" applyFill="1" applyBorder="1" applyAlignment="1">
      <alignment horizontal="left" vertical="center" indent="1"/>
    </xf>
    <xf numFmtId="0" fontId="0" fillId="7" borderId="95" xfId="0" applyFill="1" applyBorder="1" applyAlignment="1">
      <alignment horizontal="left" vertical="center" indent="1"/>
    </xf>
    <xf numFmtId="0" fontId="0" fillId="7" borderId="96" xfId="0" applyFill="1" applyBorder="1" applyAlignment="1">
      <alignment horizontal="left" vertical="center" indent="1"/>
    </xf>
    <xf numFmtId="0" fontId="0" fillId="7" borderId="97" xfId="0" applyFill="1" applyBorder="1" applyAlignment="1">
      <alignment horizontal="left" vertical="center" indent="1"/>
    </xf>
    <xf numFmtId="0" fontId="0" fillId="7" borderId="150" xfId="0" applyFill="1" applyBorder="1" applyAlignment="1">
      <alignment horizontal="center" vertical="center"/>
    </xf>
    <xf numFmtId="0" fontId="0" fillId="7" borderId="151" xfId="0" applyFill="1" applyBorder="1" applyAlignment="1">
      <alignment horizontal="center" vertical="center"/>
    </xf>
    <xf numFmtId="0" fontId="0" fillId="7" borderId="152" xfId="0" applyFill="1" applyBorder="1" applyAlignment="1">
      <alignment horizontal="left" indent="1"/>
    </xf>
    <xf numFmtId="0" fontId="0" fillId="7" borderId="153" xfId="0" applyFill="1" applyBorder="1" applyAlignment="1">
      <alignment horizontal="center" vertical="center"/>
    </xf>
    <xf numFmtId="0" fontId="12" fillId="7" borderId="96" xfId="0" applyFont="1" applyFill="1" applyBorder="1" applyAlignment="1">
      <alignment horizontal="left" indent="1"/>
    </xf>
    <xf numFmtId="0" fontId="12" fillId="7" borderId="153" xfId="0" applyFont="1" applyFill="1" applyBorder="1" applyAlignment="1">
      <alignment horizontal="center"/>
    </xf>
    <xf numFmtId="0" fontId="0" fillId="7" borderId="154" xfId="0" applyFill="1" applyBorder="1" applyAlignment="1">
      <alignment horizontal="center" vertical="center"/>
    </xf>
    <xf numFmtId="0" fontId="0" fillId="7" borderId="155" xfId="0" applyFill="1" applyBorder="1" applyAlignment="1">
      <alignment horizontal="center" vertical="center"/>
    </xf>
    <xf numFmtId="0" fontId="12" fillId="7" borderId="97" xfId="0" applyFont="1" applyFill="1" applyBorder="1" applyAlignment="1">
      <alignment horizontal="left" indent="1"/>
    </xf>
    <xf numFmtId="0" fontId="12" fillId="7" borderId="7" xfId="0" applyFont="1" applyFill="1" applyBorder="1" applyAlignment="1">
      <alignment horizontal="left" indent="1"/>
    </xf>
    <xf numFmtId="0" fontId="0" fillId="7" borderId="8" xfId="0" applyFill="1" applyBorder="1" applyAlignment="1">
      <alignment horizontal="left" vertical="center" indent="1"/>
    </xf>
    <xf numFmtId="0" fontId="0" fillId="7" borderId="7" xfId="0" applyFill="1" applyBorder="1" applyAlignment="1">
      <alignment horizontal="left" vertical="center" indent="1"/>
    </xf>
    <xf numFmtId="0" fontId="0" fillId="7" borderId="51" xfId="0" applyFill="1" applyBorder="1" applyAlignment="1">
      <alignment horizontal="center" vertical="center"/>
    </xf>
    <xf numFmtId="0" fontId="60" fillId="11" borderId="118" xfId="0" applyFont="1" applyFill="1" applyBorder="1" applyAlignment="1" applyProtection="1">
      <alignment horizontal="center" vertical="center" wrapText="1"/>
      <protection hidden="1"/>
    </xf>
    <xf numFmtId="0" fontId="18" fillId="6" borderId="50" xfId="0" applyFont="1" applyFill="1" applyBorder="1" applyAlignment="1" applyProtection="1">
      <alignment horizontal="right" vertical="center" indent="1"/>
      <protection hidden="1"/>
    </xf>
    <xf numFmtId="0" fontId="14" fillId="0" borderId="0" xfId="0" applyFont="1" applyAlignment="1" applyProtection="1">
      <alignment horizontal="center" vertical="center" wrapText="1"/>
      <protection hidden="1"/>
    </xf>
    <xf numFmtId="168" fontId="23" fillId="3" borderId="11" xfId="0" applyNumberFormat="1" applyFont="1" applyFill="1" applyBorder="1" applyAlignment="1" applyProtection="1">
      <alignment horizontal="center" vertical="center"/>
      <protection locked="0"/>
    </xf>
    <xf numFmtId="0" fontId="18" fillId="19" borderId="11" xfId="0" applyFont="1" applyFill="1" applyBorder="1" applyAlignment="1" applyProtection="1">
      <alignment horizontal="right" vertical="center" indent="1"/>
      <protection hidden="1"/>
    </xf>
    <xf numFmtId="0" fontId="14" fillId="19" borderId="54" xfId="0" applyFont="1" applyFill="1" applyBorder="1" applyAlignment="1" applyProtection="1">
      <alignment horizontal="right" vertical="center" indent="1"/>
      <protection hidden="1"/>
    </xf>
    <xf numFmtId="0" fontId="14" fillId="19" borderId="17" xfId="0" applyFont="1" applyFill="1" applyBorder="1" applyAlignment="1" applyProtection="1">
      <alignment horizontal="right" vertical="center" indent="1"/>
      <protection hidden="1"/>
    </xf>
    <xf numFmtId="0" fontId="18" fillId="0" borderId="17" xfId="0" applyFont="1" applyBorder="1" applyAlignment="1" applyProtection="1">
      <alignment horizontal="right" vertical="center" indent="1"/>
      <protection hidden="1"/>
    </xf>
    <xf numFmtId="0" fontId="14" fillId="0" borderId="54" xfId="0" applyFont="1" applyBorder="1" applyAlignment="1" applyProtection="1">
      <alignment horizontal="right" vertical="center" indent="1"/>
      <protection hidden="1"/>
    </xf>
    <xf numFmtId="0" fontId="14" fillId="0" borderId="14" xfId="0" applyFont="1" applyBorder="1" applyAlignment="1" applyProtection="1">
      <alignment horizontal="right" vertical="center" indent="1"/>
      <protection hidden="1"/>
    </xf>
    <xf numFmtId="0" fontId="30" fillId="0" borderId="17" xfId="6" applyFont="1" applyFill="1" applyBorder="1" applyAlignment="1" applyProtection="1">
      <alignment horizontal="right" vertical="center" indent="1"/>
      <protection hidden="1"/>
    </xf>
    <xf numFmtId="0" fontId="14" fillId="0" borderId="17" xfId="0" applyFont="1" applyBorder="1" applyAlignment="1" applyProtection="1">
      <alignment horizontal="right" vertical="center" indent="1"/>
      <protection hidden="1"/>
    </xf>
    <xf numFmtId="0" fontId="14" fillId="0" borderId="11" xfId="0" applyFont="1" applyBorder="1" applyAlignment="1" applyProtection="1">
      <alignment horizontal="right" vertical="center" indent="1"/>
      <protection hidden="1"/>
    </xf>
    <xf numFmtId="0" fontId="14" fillId="19" borderId="31" xfId="0" applyFont="1" applyFill="1" applyBorder="1" applyAlignment="1" applyProtection="1">
      <alignment horizontal="right" vertical="center"/>
      <protection hidden="1"/>
    </xf>
    <xf numFmtId="0" fontId="36" fillId="11" borderId="159" xfId="6" applyFont="1" applyFill="1" applyBorder="1" applyAlignment="1" applyProtection="1">
      <alignment horizontal="left" vertical="center" indent="1"/>
      <protection hidden="1"/>
    </xf>
    <xf numFmtId="169" fontId="14" fillId="22" borderId="160" xfId="1" applyNumberFormat="1" applyFont="1" applyFill="1" applyBorder="1" applyAlignment="1" applyProtection="1">
      <alignment horizontal="center" vertical="center"/>
      <protection locked="0"/>
    </xf>
    <xf numFmtId="0" fontId="0" fillId="7" borderId="161" xfId="0" applyFill="1" applyBorder="1" applyAlignment="1">
      <alignment horizontal="center" vertical="center"/>
    </xf>
    <xf numFmtId="0" fontId="0" fillId="0" borderId="34" xfId="0" applyBorder="1" applyAlignment="1">
      <alignment horizontal="center"/>
    </xf>
    <xf numFmtId="0" fontId="0" fillId="0" borderId="37" xfId="0" applyBorder="1" applyAlignment="1">
      <alignment horizontal="center"/>
    </xf>
    <xf numFmtId="0" fontId="34" fillId="0" borderId="47" xfId="0" applyFont="1" applyBorder="1" applyAlignment="1">
      <alignment horizontal="center" vertical="center"/>
    </xf>
    <xf numFmtId="0" fontId="10" fillId="0" borderId="47" xfId="0" applyFont="1" applyBorder="1" applyAlignment="1">
      <alignment vertical="center"/>
    </xf>
    <xf numFmtId="0" fontId="10" fillId="0" borderId="32" xfId="0" applyFont="1" applyBorder="1" applyAlignment="1">
      <alignment vertical="center"/>
    </xf>
    <xf numFmtId="0" fontId="10" fillId="0" borderId="32" xfId="0" applyFont="1" applyBorder="1" applyAlignment="1">
      <alignment horizontal="center" vertical="center"/>
    </xf>
    <xf numFmtId="0" fontId="0" fillId="0" borderId="64" xfId="0" applyBorder="1" applyAlignment="1">
      <alignment horizontal="center"/>
    </xf>
    <xf numFmtId="0" fontId="34" fillId="0" borderId="65" xfId="0" applyFont="1" applyBorder="1" applyAlignment="1">
      <alignment horizontal="center" vertical="center"/>
    </xf>
    <xf numFmtId="0" fontId="10" fillId="0" borderId="65" xfId="0" applyFont="1" applyBorder="1" applyAlignment="1">
      <alignment vertical="center"/>
    </xf>
    <xf numFmtId="0" fontId="10" fillId="0" borderId="66" xfId="0" applyFont="1" applyBorder="1" applyAlignment="1">
      <alignment vertical="center"/>
    </xf>
    <xf numFmtId="0" fontId="10" fillId="0" borderId="66" xfId="0" applyFont="1" applyBorder="1" applyAlignment="1">
      <alignment horizontal="center" vertical="center"/>
    </xf>
    <xf numFmtId="168" fontId="23" fillId="25" borderId="11" xfId="0" applyNumberFormat="1"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wrapText="1"/>
      <protection hidden="1"/>
    </xf>
    <xf numFmtId="0" fontId="17" fillId="2" borderId="80" xfId="0" applyFont="1" applyFill="1" applyBorder="1" applyAlignment="1" applyProtection="1">
      <alignment horizontal="center" vertical="center" wrapText="1"/>
      <protection hidden="1"/>
    </xf>
    <xf numFmtId="0" fontId="14" fillId="0" borderId="77" xfId="0" applyFont="1" applyBorder="1"/>
    <xf numFmtId="0" fontId="14" fillId="0" borderId="85" xfId="0" applyFont="1" applyBorder="1"/>
    <xf numFmtId="0" fontId="14" fillId="6" borderId="17" xfId="0" applyFont="1" applyFill="1" applyBorder="1" applyAlignment="1" applyProtection="1">
      <alignment horizontal="right" vertical="center" indent="1"/>
      <protection hidden="1"/>
    </xf>
    <xf numFmtId="0" fontId="18" fillId="15" borderId="17" xfId="0" applyFont="1" applyFill="1" applyBorder="1" applyAlignment="1" applyProtection="1">
      <alignment horizontal="right" vertical="center" indent="1"/>
      <protection hidden="1"/>
    </xf>
    <xf numFmtId="0" fontId="0" fillId="7" borderId="52" xfId="0" applyFill="1" applyBorder="1" applyAlignment="1">
      <alignment horizontal="center" vertical="center"/>
    </xf>
    <xf numFmtId="0" fontId="0" fillId="7" borderId="7" xfId="0" applyFill="1" applyBorder="1" applyAlignment="1">
      <alignment horizontal="left" indent="1"/>
    </xf>
    <xf numFmtId="0" fontId="0" fillId="7" borderId="26" xfId="0" applyFill="1" applyBorder="1" applyAlignment="1">
      <alignment horizontal="center" vertical="center"/>
    </xf>
    <xf numFmtId="0" fontId="0" fillId="7" borderId="81" xfId="0" applyFill="1" applyBorder="1" applyAlignment="1">
      <alignment horizontal="left" indent="1"/>
    </xf>
    <xf numFmtId="0" fontId="0" fillId="7" borderId="173" xfId="0" applyFill="1" applyBorder="1" applyAlignment="1">
      <alignment horizontal="left" indent="1"/>
    </xf>
    <xf numFmtId="0" fontId="0" fillId="7" borderId="174" xfId="0" applyFill="1" applyBorder="1" applyAlignment="1">
      <alignment horizontal="center" vertical="center"/>
    </xf>
    <xf numFmtId="0" fontId="0" fillId="7" borderId="149" xfId="0" applyFill="1" applyBorder="1" applyAlignment="1">
      <alignment horizontal="left" indent="1"/>
    </xf>
    <xf numFmtId="0" fontId="14" fillId="0" borderId="5" xfId="0" applyFont="1" applyBorder="1"/>
    <xf numFmtId="1" fontId="23" fillId="3" borderId="50" xfId="0" applyNumberFormat="1" applyFont="1" applyFill="1" applyBorder="1" applyAlignment="1" applyProtection="1">
      <alignment horizontal="center" vertical="center"/>
      <protection locked="0"/>
    </xf>
    <xf numFmtId="0" fontId="0" fillId="7" borderId="189" xfId="0" applyFill="1" applyBorder="1" applyAlignment="1">
      <alignment horizontal="center" vertical="center"/>
    </xf>
    <xf numFmtId="0" fontId="0" fillId="7" borderId="190" xfId="0" applyFill="1" applyBorder="1" applyAlignment="1">
      <alignment horizontal="left" indent="1"/>
    </xf>
    <xf numFmtId="0" fontId="0" fillId="7" borderId="98" xfId="0" applyFill="1" applyBorder="1" applyAlignment="1">
      <alignment horizontal="left" indent="1"/>
    </xf>
    <xf numFmtId="0" fontId="0" fillId="7" borderId="188" xfId="0" applyFill="1" applyBorder="1" applyAlignment="1">
      <alignment horizontal="left" indent="1"/>
    </xf>
    <xf numFmtId="0" fontId="10" fillId="7" borderId="188" xfId="0" applyFont="1" applyFill="1" applyBorder="1" applyAlignment="1">
      <alignment horizontal="left" indent="1"/>
    </xf>
    <xf numFmtId="0" fontId="10" fillId="7" borderId="191" xfId="0" applyFont="1" applyFill="1" applyBorder="1" applyAlignment="1">
      <alignment horizontal="left" indent="1"/>
    </xf>
    <xf numFmtId="0" fontId="12" fillId="7" borderId="95" xfId="0" applyFont="1" applyFill="1" applyBorder="1" applyAlignment="1">
      <alignment horizontal="left" indent="1"/>
    </xf>
    <xf numFmtId="0" fontId="12" fillId="7" borderId="81" xfId="0" applyFont="1" applyFill="1" applyBorder="1" applyAlignment="1">
      <alignment horizontal="left" indent="1"/>
    </xf>
    <xf numFmtId="0" fontId="3" fillId="7" borderId="96" xfId="2" applyFill="1" applyBorder="1" applyAlignment="1">
      <alignment horizontal="left" indent="1"/>
    </xf>
    <xf numFmtId="0" fontId="14" fillId="38" borderId="0" xfId="0" applyFont="1" applyFill="1"/>
    <xf numFmtId="0" fontId="18" fillId="15" borderId="7" xfId="0" applyFont="1" applyFill="1" applyBorder="1" applyAlignment="1" applyProtection="1">
      <alignment horizontal="right" vertical="center" indent="1"/>
      <protection hidden="1"/>
    </xf>
    <xf numFmtId="0" fontId="14" fillId="6" borderId="1" xfId="0" applyFont="1" applyFill="1" applyBorder="1" applyAlignment="1" applyProtection="1">
      <alignment horizontal="right" vertical="center" indent="1"/>
      <protection hidden="1"/>
    </xf>
    <xf numFmtId="0" fontId="14" fillId="6" borderId="8" xfId="0" applyFont="1" applyFill="1" applyBorder="1" applyAlignment="1" applyProtection="1">
      <alignment horizontal="right" vertical="center" indent="1"/>
      <protection hidden="1"/>
    </xf>
    <xf numFmtId="0" fontId="18" fillId="15" borderId="11" xfId="0" applyFont="1" applyFill="1" applyBorder="1" applyAlignment="1" applyProtection="1">
      <alignment horizontal="right" vertical="center" wrapText="1" indent="1"/>
      <protection hidden="1"/>
    </xf>
    <xf numFmtId="0" fontId="14" fillId="6" borderId="144" xfId="0" applyFont="1" applyFill="1" applyBorder="1" applyAlignment="1" applyProtection="1">
      <alignment horizontal="center" vertical="center"/>
      <protection hidden="1"/>
    </xf>
    <xf numFmtId="0" fontId="14" fillId="0" borderId="5" xfId="0" applyFont="1" applyBorder="1" applyAlignment="1" applyProtection="1">
      <alignment horizontal="center" vertical="center" wrapText="1"/>
      <protection hidden="1"/>
    </xf>
    <xf numFmtId="0" fontId="14" fillId="21" borderId="17" xfId="0" applyFont="1" applyFill="1" applyBorder="1" applyAlignment="1" applyProtection="1">
      <alignment horizontal="right" vertical="center" indent="1"/>
      <protection hidden="1"/>
    </xf>
    <xf numFmtId="0" fontId="14" fillId="21" borderId="11" xfId="0" applyFont="1" applyFill="1" applyBorder="1" applyAlignment="1" applyProtection="1">
      <alignment horizontal="right" vertical="center" indent="1"/>
      <protection hidden="1"/>
    </xf>
    <xf numFmtId="0" fontId="14" fillId="0" borderId="50" xfId="0" applyFont="1" applyBorder="1" applyAlignment="1" applyProtection="1">
      <alignment horizontal="right" vertical="center" indent="1"/>
      <protection hidden="1"/>
    </xf>
    <xf numFmtId="0" fontId="14" fillId="21" borderId="0" xfId="0" applyFont="1" applyFill="1" applyAlignment="1" applyProtection="1">
      <alignment horizontal="right" vertical="center" indent="1"/>
      <protection hidden="1"/>
    </xf>
    <xf numFmtId="0" fontId="14" fillId="21" borderId="9" xfId="0" applyFont="1" applyFill="1" applyBorder="1" applyAlignment="1" applyProtection="1">
      <alignment horizontal="center" vertical="center" wrapText="1"/>
      <protection hidden="1"/>
    </xf>
    <xf numFmtId="0" fontId="14" fillId="0" borderId="35" xfId="0" applyFont="1" applyBorder="1" applyAlignment="1" applyProtection="1">
      <alignment horizontal="right" vertical="center" indent="1"/>
      <protection hidden="1"/>
    </xf>
    <xf numFmtId="0" fontId="12" fillId="0" borderId="0" xfId="0" applyFont="1"/>
    <xf numFmtId="0" fontId="11" fillId="0" borderId="0" xfId="0" applyFont="1" applyAlignment="1">
      <alignment horizontal="center"/>
    </xf>
    <xf numFmtId="173" fontId="8" fillId="0" borderId="0" xfId="0" applyNumberFormat="1" applyFont="1" applyAlignment="1" applyProtection="1">
      <alignment horizontal="center" vertical="center" wrapText="1"/>
      <protection hidden="1"/>
    </xf>
    <xf numFmtId="0" fontId="67" fillId="0" borderId="0" xfId="0" applyFont="1"/>
    <xf numFmtId="0" fontId="67" fillId="0" borderId="0" xfId="0" applyFont="1" applyAlignment="1">
      <alignment horizontal="center"/>
    </xf>
    <xf numFmtId="169" fontId="68" fillId="0" borderId="0" xfId="2" applyNumberFormat="1" applyFont="1" applyAlignment="1">
      <alignment horizontal="center" vertical="center" wrapText="1"/>
    </xf>
    <xf numFmtId="0" fontId="18" fillId="17" borderId="33" xfId="0" applyFont="1" applyFill="1" applyBorder="1" applyAlignment="1" applyProtection="1">
      <alignment vertical="center" wrapText="1"/>
      <protection hidden="1"/>
    </xf>
    <xf numFmtId="0" fontId="69" fillId="11" borderId="0" xfId="0" applyFont="1" applyFill="1" applyAlignment="1" applyProtection="1">
      <alignment horizontal="right" vertical="center" wrapText="1" readingOrder="1"/>
      <protection hidden="1"/>
    </xf>
    <xf numFmtId="0" fontId="17" fillId="11" borderId="0" xfId="0" applyFont="1" applyFill="1" applyAlignment="1" applyProtection="1">
      <alignment horizontal="right" vertical="center" wrapText="1" readingOrder="1"/>
      <protection hidden="1"/>
    </xf>
    <xf numFmtId="0" fontId="70" fillId="11" borderId="163" xfId="0" applyFont="1" applyFill="1" applyBorder="1" applyAlignment="1" applyProtection="1">
      <alignment horizontal="right" vertical="center" wrapText="1" readingOrder="1"/>
      <protection hidden="1"/>
    </xf>
    <xf numFmtId="0" fontId="36" fillId="11" borderId="0" xfId="6" applyFont="1" applyFill="1" applyBorder="1" applyAlignment="1" applyProtection="1">
      <alignment horizontal="left" vertical="center" indent="1"/>
      <protection hidden="1"/>
    </xf>
    <xf numFmtId="0" fontId="13" fillId="13" borderId="0" xfId="0" applyFont="1" applyFill="1" applyAlignment="1" applyProtection="1">
      <alignment vertical="center"/>
      <protection hidden="1"/>
    </xf>
    <xf numFmtId="0" fontId="4" fillId="11" borderId="0" xfId="2" applyFont="1" applyFill="1" applyAlignment="1" applyProtection="1">
      <alignment horizontal="left" vertical="center" wrapText="1"/>
      <protection hidden="1"/>
    </xf>
    <xf numFmtId="0" fontId="38" fillId="10" borderId="0" xfId="2" applyFont="1" applyFill="1" applyAlignment="1" applyProtection="1">
      <alignment horizontal="left" wrapText="1"/>
      <protection hidden="1"/>
    </xf>
    <xf numFmtId="0" fontId="3" fillId="5" borderId="56" xfId="2" applyFill="1" applyBorder="1" applyAlignment="1" applyProtection="1">
      <alignment horizontal="center" vertical="center" wrapText="1"/>
      <protection hidden="1"/>
    </xf>
    <xf numFmtId="0" fontId="3" fillId="5" borderId="13" xfId="2" applyFill="1" applyBorder="1" applyAlignment="1" applyProtection="1">
      <alignment horizontal="center" vertical="center" wrapText="1"/>
      <protection hidden="1"/>
    </xf>
    <xf numFmtId="0" fontId="13" fillId="13" borderId="1" xfId="0" applyFont="1" applyFill="1" applyBorder="1" applyAlignment="1" applyProtection="1">
      <alignment vertical="center"/>
      <protection hidden="1"/>
    </xf>
    <xf numFmtId="0" fontId="13" fillId="13" borderId="2" xfId="0" applyFont="1" applyFill="1" applyBorder="1" applyAlignment="1" applyProtection="1">
      <alignment vertical="center"/>
      <protection hidden="1"/>
    </xf>
    <xf numFmtId="0" fontId="13" fillId="13" borderId="9" xfId="0" applyFont="1" applyFill="1" applyBorder="1" applyAlignment="1" applyProtection="1">
      <alignment vertical="center"/>
      <protection hidden="1"/>
    </xf>
    <xf numFmtId="0" fontId="34" fillId="5" borderId="13" xfId="2" applyFont="1" applyFill="1" applyBorder="1" applyAlignment="1" applyProtection="1">
      <alignment horizontal="center" vertical="center" wrapText="1"/>
      <protection hidden="1"/>
    </xf>
    <xf numFmtId="0" fontId="34" fillId="5" borderId="6" xfId="2" applyFont="1" applyFill="1" applyBorder="1" applyAlignment="1" applyProtection="1">
      <alignment horizontal="center" vertical="center" wrapText="1"/>
      <protection hidden="1"/>
    </xf>
    <xf numFmtId="169" fontId="14" fillId="22" borderId="198" xfId="1" applyNumberFormat="1" applyFont="1" applyFill="1" applyBorder="1" applyAlignment="1" applyProtection="1">
      <alignment horizontal="center" vertical="center"/>
      <protection locked="0"/>
    </xf>
    <xf numFmtId="0" fontId="17" fillId="2" borderId="199" xfId="0" applyFont="1" applyFill="1" applyBorder="1" applyAlignment="1" applyProtection="1">
      <alignment horizontal="center" vertical="center" wrapText="1"/>
      <protection hidden="1"/>
    </xf>
    <xf numFmtId="0" fontId="0" fillId="7" borderId="201" xfId="0" applyFill="1" applyBorder="1" applyAlignment="1">
      <alignment horizontal="center" vertical="center"/>
    </xf>
    <xf numFmtId="174" fontId="26" fillId="24" borderId="31" xfId="1" applyNumberFormat="1" applyFont="1" applyFill="1" applyBorder="1" applyAlignment="1" applyProtection="1">
      <alignment horizontal="center" vertical="center"/>
      <protection hidden="1"/>
    </xf>
    <xf numFmtId="0" fontId="8" fillId="9" borderId="233" xfId="2" applyFont="1" applyFill="1" applyBorder="1" applyAlignment="1">
      <alignment horizontal="center" vertical="center" wrapText="1"/>
    </xf>
    <xf numFmtId="0" fontId="8" fillId="9" borderId="234" xfId="2" applyFont="1" applyFill="1" applyBorder="1" applyAlignment="1">
      <alignment horizontal="center" vertical="center" wrapText="1"/>
    </xf>
    <xf numFmtId="175" fontId="8" fillId="9" borderId="68" xfId="2" applyNumberFormat="1" applyFont="1" applyFill="1" applyBorder="1" applyAlignment="1">
      <alignment horizontal="center" vertical="center" wrapText="1"/>
    </xf>
    <xf numFmtId="176" fontId="8" fillId="9" borderId="35" xfId="2" applyNumberFormat="1" applyFont="1" applyFill="1" applyBorder="1" applyAlignment="1">
      <alignment horizontal="center" vertical="center" wrapText="1"/>
    </xf>
    <xf numFmtId="176" fontId="8" fillId="9" borderId="7" xfId="2" applyNumberFormat="1" applyFont="1" applyFill="1" applyBorder="1" applyAlignment="1">
      <alignment horizontal="center" vertical="center" wrapText="1"/>
    </xf>
    <xf numFmtId="176" fontId="8" fillId="9" borderId="80" xfId="2" applyNumberFormat="1" applyFont="1" applyFill="1" applyBorder="1" applyAlignment="1">
      <alignment horizontal="center" vertical="center" wrapText="1"/>
    </xf>
    <xf numFmtId="177" fontId="1" fillId="7" borderId="203" xfId="0" applyNumberFormat="1" applyFont="1" applyFill="1" applyBorder="1" applyAlignment="1">
      <alignment horizontal="center" vertical="center"/>
    </xf>
    <xf numFmtId="177" fontId="1" fillId="7" borderId="107" xfId="0" applyNumberFormat="1" applyFont="1" applyFill="1" applyBorder="1" applyAlignment="1">
      <alignment horizontal="center" vertical="center"/>
    </xf>
    <xf numFmtId="177" fontId="1" fillId="7" borderId="16" xfId="0" applyNumberFormat="1" applyFont="1" applyFill="1" applyBorder="1" applyAlignment="1">
      <alignment horizontal="center" vertical="center"/>
    </xf>
    <xf numFmtId="177" fontId="10" fillId="7" borderId="16" xfId="0" applyNumberFormat="1" applyFont="1" applyFill="1" applyBorder="1" applyAlignment="1">
      <alignment horizontal="center" vertical="center"/>
    </xf>
    <xf numFmtId="177" fontId="10" fillId="7" borderId="215" xfId="0" applyNumberFormat="1" applyFont="1" applyFill="1" applyBorder="1" applyAlignment="1">
      <alignment horizontal="center" vertical="center"/>
    </xf>
    <xf numFmtId="177" fontId="10" fillId="7" borderId="204" xfId="0" applyNumberFormat="1" applyFont="1" applyFill="1" applyBorder="1" applyAlignment="1">
      <alignment horizontal="center" vertical="center"/>
    </xf>
    <xf numFmtId="177" fontId="10" fillId="7" borderId="92" xfId="0" applyNumberFormat="1" applyFont="1" applyFill="1" applyBorder="1" applyAlignment="1">
      <alignment horizontal="center" vertical="center"/>
    </xf>
    <xf numFmtId="177" fontId="12" fillId="7" borderId="19" xfId="0" applyNumberFormat="1" applyFont="1" applyFill="1" applyBorder="1" applyAlignment="1">
      <alignment horizontal="center" vertical="center"/>
    </xf>
    <xf numFmtId="177" fontId="12" fillId="7" borderId="218" xfId="0" applyNumberFormat="1" applyFont="1" applyFill="1" applyBorder="1" applyAlignment="1">
      <alignment horizontal="center" vertical="center"/>
    </xf>
    <xf numFmtId="177" fontId="12" fillId="7" borderId="211" xfId="2" applyNumberFormat="1" applyFont="1" applyFill="1" applyBorder="1" applyAlignment="1">
      <alignment horizontal="center" vertical="center"/>
    </xf>
    <xf numFmtId="177" fontId="12" fillId="7" borderId="93" xfId="2" applyNumberFormat="1" applyFont="1" applyFill="1" applyBorder="1" applyAlignment="1">
      <alignment horizontal="center" vertical="center"/>
    </xf>
    <xf numFmtId="177" fontId="12" fillId="7" borderId="80" xfId="2" applyNumberFormat="1" applyFont="1" applyFill="1" applyBorder="1" applyAlignment="1">
      <alignment horizontal="center" vertical="center"/>
    </xf>
    <xf numFmtId="177" fontId="1" fillId="7" borderId="206" xfId="0" applyNumberFormat="1" applyFont="1" applyFill="1" applyBorder="1" applyAlignment="1">
      <alignment horizontal="center" vertical="center"/>
    </xf>
    <xf numFmtId="177" fontId="1" fillId="7" borderId="172" xfId="0" applyNumberFormat="1" applyFont="1" applyFill="1" applyBorder="1" applyAlignment="1">
      <alignment horizontal="center" vertical="center"/>
    </xf>
    <xf numFmtId="177" fontId="1" fillId="7" borderId="176" xfId="0" applyNumberFormat="1" applyFont="1" applyFill="1" applyBorder="1" applyAlignment="1">
      <alignment horizontal="center" vertical="center"/>
    </xf>
    <xf numFmtId="177" fontId="10" fillId="7" borderId="176" xfId="0" applyNumberFormat="1" applyFont="1" applyFill="1" applyBorder="1" applyAlignment="1">
      <alignment horizontal="center" vertical="center"/>
    </xf>
    <xf numFmtId="177" fontId="10" fillId="7" borderId="217" xfId="0" applyNumberFormat="1" applyFont="1" applyFill="1" applyBorder="1" applyAlignment="1">
      <alignment horizontal="center" vertical="center"/>
    </xf>
    <xf numFmtId="177" fontId="1" fillId="7" borderId="151" xfId="0" applyNumberFormat="1" applyFont="1" applyFill="1" applyBorder="1" applyAlignment="1">
      <alignment horizontal="center" vertical="center"/>
    </xf>
    <xf numFmtId="177" fontId="10" fillId="7" borderId="19" xfId="0" applyNumberFormat="1" applyFont="1" applyFill="1" applyBorder="1" applyAlignment="1">
      <alignment horizontal="center" vertical="center"/>
    </xf>
    <xf numFmtId="177" fontId="1" fillId="7" borderId="19" xfId="0" applyNumberFormat="1" applyFont="1" applyFill="1" applyBorder="1" applyAlignment="1">
      <alignment horizontal="center" vertical="center"/>
    </xf>
    <xf numFmtId="177" fontId="1" fillId="7" borderId="218" xfId="0" applyNumberFormat="1" applyFont="1" applyFill="1" applyBorder="1" applyAlignment="1">
      <alignment horizontal="center" vertical="center"/>
    </xf>
    <xf numFmtId="177" fontId="10" fillId="7" borderId="109" xfId="0" applyNumberFormat="1" applyFont="1" applyFill="1" applyBorder="1" applyAlignment="1">
      <alignment horizontal="center" vertical="center"/>
    </xf>
    <xf numFmtId="177" fontId="1" fillId="7" borderId="23" xfId="0" applyNumberFormat="1" applyFont="1" applyFill="1" applyBorder="1" applyAlignment="1">
      <alignment horizontal="center" vertical="center"/>
    </xf>
    <xf numFmtId="177" fontId="1" fillId="7" borderId="220" xfId="0" applyNumberFormat="1" applyFont="1" applyFill="1" applyBorder="1" applyAlignment="1">
      <alignment horizontal="center" vertical="center"/>
    </xf>
    <xf numFmtId="177" fontId="12" fillId="7" borderId="204" xfId="2" applyNumberFormat="1" applyFont="1" applyFill="1" applyBorder="1" applyAlignment="1">
      <alignment horizontal="center" vertical="center"/>
    </xf>
    <xf numFmtId="177" fontId="12" fillId="7" borderId="92" xfId="2" applyNumberFormat="1" applyFont="1" applyFill="1" applyBorder="1" applyAlignment="1">
      <alignment horizontal="center" vertical="center"/>
    </xf>
    <xf numFmtId="177" fontId="12" fillId="7" borderId="19" xfId="2" applyNumberFormat="1" applyFont="1" applyFill="1" applyBorder="1" applyAlignment="1">
      <alignment horizontal="center" vertical="center"/>
    </xf>
    <xf numFmtId="177" fontId="12" fillId="7" borderId="218" xfId="2" applyNumberFormat="1" applyFont="1" applyFill="1" applyBorder="1" applyAlignment="1">
      <alignment horizontal="center" vertical="center"/>
    </xf>
    <xf numFmtId="177" fontId="12" fillId="7" borderId="207" xfId="2" applyNumberFormat="1" applyFont="1" applyFill="1" applyBorder="1" applyAlignment="1">
      <alignment horizontal="center" vertical="center"/>
    </xf>
    <xf numFmtId="177" fontId="12" fillId="7" borderId="177" xfId="2" applyNumberFormat="1" applyFont="1" applyFill="1" applyBorder="1" applyAlignment="1">
      <alignment horizontal="center" vertical="center"/>
    </xf>
    <xf numFmtId="177" fontId="12" fillId="7" borderId="21" xfId="2" applyNumberFormat="1" applyFont="1" applyFill="1" applyBorder="1" applyAlignment="1">
      <alignment horizontal="center" vertical="center"/>
    </xf>
    <xf numFmtId="177" fontId="12" fillId="7" borderId="219" xfId="2" applyNumberFormat="1" applyFont="1" applyFill="1" applyBorder="1" applyAlignment="1">
      <alignment horizontal="center" vertical="center"/>
    </xf>
    <xf numFmtId="177" fontId="1" fillId="7" borderId="70" xfId="0" applyNumberFormat="1" applyFont="1" applyFill="1" applyBorder="1" applyAlignment="1">
      <alignment horizontal="center" vertical="center"/>
    </xf>
    <xf numFmtId="177" fontId="10" fillId="7" borderId="23" xfId="0" applyNumberFormat="1" applyFont="1" applyFill="1" applyBorder="1" applyAlignment="1">
      <alignment horizontal="center" vertical="center"/>
    </xf>
    <xf numFmtId="177" fontId="0" fillId="7" borderId="70" xfId="0" applyNumberFormat="1" applyFill="1" applyBorder="1" applyAlignment="1">
      <alignment horizontal="center" vertical="center"/>
    </xf>
    <xf numFmtId="177" fontId="1" fillId="7" borderId="201" xfId="0" applyNumberFormat="1" applyFont="1" applyFill="1" applyBorder="1" applyAlignment="1">
      <alignment horizontal="center" vertical="center"/>
    </xf>
    <xf numFmtId="177" fontId="10" fillId="7" borderId="21" xfId="0" applyNumberFormat="1" applyFont="1" applyFill="1" applyBorder="1" applyAlignment="1">
      <alignment horizontal="center" vertical="center"/>
    </xf>
    <xf numFmtId="177" fontId="1" fillId="7" borderId="21" xfId="0" applyNumberFormat="1" applyFont="1" applyFill="1" applyBorder="1" applyAlignment="1">
      <alignment horizontal="center" vertical="center"/>
    </xf>
    <xf numFmtId="177" fontId="1" fillId="7" borderId="219" xfId="0" applyNumberFormat="1" applyFont="1" applyFill="1" applyBorder="1" applyAlignment="1">
      <alignment horizontal="center" vertical="center"/>
    </xf>
    <xf numFmtId="177" fontId="10" fillId="7" borderId="206" xfId="0" applyNumberFormat="1" applyFont="1" applyFill="1" applyBorder="1" applyAlignment="1">
      <alignment horizontal="center" vertical="center"/>
    </xf>
    <xf numFmtId="177" fontId="10" fillId="7" borderId="187" xfId="0" applyNumberFormat="1" applyFont="1" applyFill="1" applyBorder="1" applyAlignment="1">
      <alignment horizontal="center" vertical="center"/>
    </xf>
    <xf numFmtId="177" fontId="1" fillId="7" borderId="202" xfId="0" applyNumberFormat="1" applyFont="1" applyFill="1" applyBorder="1" applyAlignment="1">
      <alignment horizontal="center" vertical="center"/>
    </xf>
    <xf numFmtId="177" fontId="1" fillId="7" borderId="225" xfId="0" applyNumberFormat="1" applyFont="1" applyFill="1" applyBorder="1" applyAlignment="1">
      <alignment horizontal="center" vertical="center"/>
    </xf>
    <xf numFmtId="177" fontId="1" fillId="7" borderId="170" xfId="0" applyNumberFormat="1" applyFont="1" applyFill="1" applyBorder="1" applyAlignment="1">
      <alignment horizontal="center" vertical="center"/>
    </xf>
    <xf numFmtId="177" fontId="1" fillId="7" borderId="216" xfId="0" applyNumberFormat="1" applyFont="1" applyFill="1" applyBorder="1" applyAlignment="1">
      <alignment horizontal="center" vertical="center"/>
    </xf>
    <xf numFmtId="177" fontId="1" fillId="7" borderId="204" xfId="0" applyNumberFormat="1" applyFont="1" applyFill="1" applyBorder="1" applyAlignment="1">
      <alignment horizontal="center" vertical="center"/>
    </xf>
    <xf numFmtId="177" fontId="1" fillId="7" borderId="92" xfId="0" applyNumberFormat="1" applyFont="1" applyFill="1" applyBorder="1" applyAlignment="1">
      <alignment horizontal="center" vertical="center"/>
    </xf>
    <xf numFmtId="177" fontId="10" fillId="7" borderId="208" xfId="0" applyNumberFormat="1" applyFont="1" applyFill="1" applyBorder="1" applyAlignment="1">
      <alignment horizontal="center" vertical="center"/>
    </xf>
    <xf numFmtId="177" fontId="1" fillId="7" borderId="177" xfId="0" applyNumberFormat="1" applyFont="1" applyFill="1" applyBorder="1" applyAlignment="1">
      <alignment horizontal="center" vertical="center"/>
    </xf>
    <xf numFmtId="177" fontId="10" fillId="7" borderId="205" xfId="0" applyNumberFormat="1" applyFont="1" applyFill="1" applyBorder="1" applyAlignment="1">
      <alignment horizontal="center" vertical="center"/>
    </xf>
    <xf numFmtId="177" fontId="10" fillId="7" borderId="171" xfId="0" applyNumberFormat="1" applyFont="1" applyFill="1" applyBorder="1" applyAlignment="1">
      <alignment horizontal="center" vertical="center"/>
    </xf>
    <xf numFmtId="177" fontId="10" fillId="7" borderId="127" xfId="0" applyNumberFormat="1" applyFont="1" applyFill="1" applyBorder="1" applyAlignment="1">
      <alignment horizontal="center" vertical="center"/>
    </xf>
    <xf numFmtId="177" fontId="10" fillId="7" borderId="177" xfId="0" applyNumberFormat="1" applyFont="1" applyFill="1" applyBorder="1" applyAlignment="1">
      <alignment horizontal="center" vertical="center"/>
    </xf>
    <xf numFmtId="177" fontId="10" fillId="7" borderId="178" xfId="0" applyNumberFormat="1" applyFont="1" applyFill="1" applyBorder="1" applyAlignment="1">
      <alignment horizontal="center" vertical="center"/>
    </xf>
    <xf numFmtId="177" fontId="12" fillId="7" borderId="212" xfId="2" applyNumberFormat="1" applyFont="1" applyFill="1" applyBorder="1" applyAlignment="1">
      <alignment horizontal="center" vertical="center"/>
    </xf>
    <xf numFmtId="177" fontId="12" fillId="7" borderId="172" xfId="2" applyNumberFormat="1" applyFont="1" applyFill="1" applyBorder="1" applyAlignment="1">
      <alignment horizontal="center" vertical="center"/>
    </xf>
    <xf numFmtId="177" fontId="12" fillId="7" borderId="79" xfId="2" applyNumberFormat="1" applyFont="1" applyFill="1" applyBorder="1" applyAlignment="1">
      <alignment horizontal="center" vertical="center"/>
    </xf>
    <xf numFmtId="177" fontId="12" fillId="7" borderId="221" xfId="2" applyNumberFormat="1" applyFont="1" applyFill="1" applyBorder="1" applyAlignment="1">
      <alignment horizontal="center" vertical="center"/>
    </xf>
    <xf numFmtId="177" fontId="12" fillId="7" borderId="222" xfId="2" applyNumberFormat="1" applyFont="1" applyFill="1" applyBorder="1" applyAlignment="1">
      <alignment horizontal="center" vertical="center"/>
    </xf>
    <xf numFmtId="177" fontId="12" fillId="7" borderId="158" xfId="2" applyNumberFormat="1" applyFont="1" applyFill="1" applyBorder="1" applyAlignment="1">
      <alignment horizontal="center" vertical="center"/>
    </xf>
    <xf numFmtId="177" fontId="12" fillId="7" borderId="223" xfId="2" applyNumberFormat="1" applyFont="1" applyFill="1" applyBorder="1" applyAlignment="1">
      <alignment horizontal="center" vertical="center"/>
    </xf>
    <xf numFmtId="175" fontId="12" fillId="7" borderId="206" xfId="2" applyNumberFormat="1" applyFont="1" applyFill="1" applyBorder="1" applyAlignment="1">
      <alignment horizontal="center" vertical="center"/>
    </xf>
    <xf numFmtId="175" fontId="12" fillId="7" borderId="187" xfId="2" applyNumberFormat="1" applyFont="1" applyFill="1" applyBorder="1" applyAlignment="1">
      <alignment horizontal="center" vertical="center"/>
    </xf>
    <xf numFmtId="175" fontId="12" fillId="7" borderId="202" xfId="2" applyNumberFormat="1" applyFont="1" applyFill="1" applyBorder="1" applyAlignment="1">
      <alignment horizontal="center" vertical="center"/>
    </xf>
    <xf numFmtId="175" fontId="12" fillId="7" borderId="225" xfId="2" applyNumberFormat="1" applyFont="1" applyFill="1" applyBorder="1" applyAlignment="1">
      <alignment horizontal="center" vertical="center"/>
    </xf>
    <xf numFmtId="178" fontId="12" fillId="7" borderId="207" xfId="2" applyNumberFormat="1" applyFont="1" applyFill="1" applyBorder="1" applyAlignment="1">
      <alignment horizontal="center" vertical="center"/>
    </xf>
    <xf numFmtId="175" fontId="12" fillId="7" borderId="177" xfId="2" applyNumberFormat="1" applyFont="1" applyFill="1" applyBorder="1" applyAlignment="1">
      <alignment horizontal="center" vertical="center"/>
    </xf>
    <xf numFmtId="175" fontId="12" fillId="7" borderId="21" xfId="2" applyNumberFormat="1" applyFont="1" applyFill="1" applyBorder="1" applyAlignment="1">
      <alignment horizontal="center" vertical="center"/>
    </xf>
    <xf numFmtId="175" fontId="12" fillId="7" borderId="219" xfId="2" applyNumberFormat="1" applyFont="1" applyFill="1" applyBorder="1" applyAlignment="1">
      <alignment horizontal="center" vertical="center"/>
    </xf>
    <xf numFmtId="175" fontId="12" fillId="7" borderId="212" xfId="2" applyNumberFormat="1" applyFont="1" applyFill="1" applyBorder="1" applyAlignment="1">
      <alignment horizontal="center" vertical="center"/>
    </xf>
    <xf numFmtId="175" fontId="12" fillId="7" borderId="172" xfId="2" applyNumberFormat="1" applyFont="1" applyFill="1" applyBorder="1" applyAlignment="1">
      <alignment horizontal="center" vertical="center"/>
    </xf>
    <xf numFmtId="175" fontId="12" fillId="7" borderId="176" xfId="2" applyNumberFormat="1" applyFont="1" applyFill="1" applyBorder="1" applyAlignment="1">
      <alignment horizontal="center" vertical="center"/>
    </xf>
    <xf numFmtId="175" fontId="12" fillId="7" borderId="217" xfId="2" applyNumberFormat="1" applyFont="1" applyFill="1" applyBorder="1" applyAlignment="1">
      <alignment horizontal="center" vertical="center"/>
    </xf>
    <xf numFmtId="178" fontId="12" fillId="7" borderId="204" xfId="2" applyNumberFormat="1" applyFont="1" applyFill="1" applyBorder="1" applyAlignment="1">
      <alignment horizontal="center" vertical="center"/>
    </xf>
    <xf numFmtId="178" fontId="12" fillId="7" borderId="188" xfId="2" applyNumberFormat="1" applyFont="1" applyFill="1" applyBorder="1" applyAlignment="1">
      <alignment horizontal="center" vertical="center"/>
    </xf>
    <xf numFmtId="178" fontId="12" fillId="7" borderId="232" xfId="2" applyNumberFormat="1" applyFont="1" applyFill="1" applyBorder="1" applyAlignment="1">
      <alignment horizontal="center" vertical="center"/>
    </xf>
    <xf numFmtId="178" fontId="12" fillId="7" borderId="218" xfId="2" applyNumberFormat="1" applyFont="1" applyFill="1" applyBorder="1" applyAlignment="1">
      <alignment horizontal="center" vertical="center"/>
    </xf>
    <xf numFmtId="178" fontId="12" fillId="7" borderId="208" xfId="2" applyNumberFormat="1" applyFont="1" applyFill="1" applyBorder="1" applyAlignment="1">
      <alignment horizontal="center" vertical="center"/>
    </xf>
    <xf numFmtId="178" fontId="12" fillId="7" borderId="157" xfId="2" applyNumberFormat="1" applyFont="1" applyFill="1" applyBorder="1" applyAlignment="1">
      <alignment horizontal="center" vertical="center"/>
    </xf>
    <xf numFmtId="178" fontId="12" fillId="7" borderId="156" xfId="2" applyNumberFormat="1" applyFont="1" applyFill="1" applyBorder="1" applyAlignment="1">
      <alignment horizontal="center" vertical="center"/>
    </xf>
    <xf numFmtId="178" fontId="12" fillId="7" borderId="226" xfId="2" applyNumberFormat="1" applyFont="1" applyFill="1" applyBorder="1" applyAlignment="1">
      <alignment horizontal="center" vertical="center"/>
    </xf>
    <xf numFmtId="178" fontId="12" fillId="7" borderId="211" xfId="2" applyNumberFormat="1" applyFont="1" applyFill="1" applyBorder="1" applyAlignment="1">
      <alignment horizontal="center" vertical="center"/>
    </xf>
    <xf numFmtId="178" fontId="12" fillId="7" borderId="93" xfId="2" applyNumberFormat="1" applyFont="1" applyFill="1" applyBorder="1" applyAlignment="1">
      <alignment horizontal="center" vertical="center"/>
    </xf>
    <xf numFmtId="178" fontId="12" fillId="7" borderId="57" xfId="2" applyNumberFormat="1" applyFont="1" applyFill="1" applyBorder="1" applyAlignment="1">
      <alignment horizontal="center" vertical="center"/>
    </xf>
    <xf numFmtId="178" fontId="12" fillId="7" borderId="23" xfId="2" applyNumberFormat="1" applyFont="1" applyFill="1" applyBorder="1" applyAlignment="1">
      <alignment horizontal="center" vertical="center"/>
    </xf>
    <xf numFmtId="178" fontId="12" fillId="7" borderId="220" xfId="2" applyNumberFormat="1" applyFont="1" applyFill="1" applyBorder="1" applyAlignment="1">
      <alignment horizontal="center" vertical="center"/>
    </xf>
    <xf numFmtId="177" fontId="12" fillId="7" borderId="213" xfId="2" applyNumberFormat="1" applyFont="1" applyFill="1" applyBorder="1" applyAlignment="1">
      <alignment horizontal="center" vertical="center"/>
    </xf>
    <xf numFmtId="177" fontId="12" fillId="7" borderId="162" xfId="2" applyNumberFormat="1" applyFont="1" applyFill="1" applyBorder="1" applyAlignment="1">
      <alignment horizontal="center" vertical="center"/>
    </xf>
    <xf numFmtId="177" fontId="12" fillId="7" borderId="170" xfId="2" applyNumberFormat="1" applyFont="1" applyFill="1" applyBorder="1" applyAlignment="1">
      <alignment horizontal="center" vertical="center"/>
    </xf>
    <xf numFmtId="177" fontId="3" fillId="7" borderId="210" xfId="2" applyNumberFormat="1" applyFill="1" applyBorder="1" applyAlignment="1">
      <alignment horizontal="center" vertical="center"/>
    </xf>
    <xf numFmtId="177" fontId="3" fillId="7" borderId="106" xfId="2" applyNumberFormat="1" applyFill="1" applyBorder="1" applyAlignment="1">
      <alignment horizontal="center" vertical="center"/>
    </xf>
    <xf numFmtId="177" fontId="3" fillId="7" borderId="83" xfId="2" applyNumberFormat="1" applyFill="1" applyBorder="1" applyAlignment="1">
      <alignment horizontal="center" vertical="center"/>
    </xf>
    <xf numFmtId="177" fontId="10" fillId="7" borderId="83" xfId="2" applyNumberFormat="1" applyFont="1" applyFill="1" applyBorder="1" applyAlignment="1">
      <alignment horizontal="center" vertical="center"/>
    </xf>
    <xf numFmtId="177" fontId="10" fillId="7" borderId="224" xfId="2" applyNumberFormat="1" applyFont="1" applyFill="1" applyBorder="1" applyAlignment="1">
      <alignment horizontal="center" vertical="center"/>
    </xf>
    <xf numFmtId="177" fontId="12" fillId="7" borderId="206" xfId="2" applyNumberFormat="1" applyFont="1" applyFill="1" applyBorder="1" applyAlignment="1">
      <alignment horizontal="center" vertical="center"/>
    </xf>
    <xf numFmtId="177" fontId="12" fillId="7" borderId="187" xfId="2" applyNumberFormat="1" applyFont="1" applyFill="1" applyBorder="1" applyAlignment="1">
      <alignment horizontal="center" vertical="center"/>
    </xf>
    <xf numFmtId="177" fontId="12" fillId="7" borderId="202" xfId="2" applyNumberFormat="1" applyFont="1" applyFill="1" applyBorder="1" applyAlignment="1">
      <alignment horizontal="center" vertical="center"/>
    </xf>
    <xf numFmtId="177" fontId="12" fillId="7" borderId="225" xfId="2" applyNumberFormat="1" applyFont="1" applyFill="1" applyBorder="1" applyAlignment="1">
      <alignment horizontal="center" vertical="center"/>
    </xf>
    <xf numFmtId="177" fontId="12" fillId="7" borderId="57" xfId="2" applyNumberFormat="1" applyFont="1" applyFill="1" applyBorder="1" applyAlignment="1">
      <alignment horizontal="center" vertical="center"/>
    </xf>
    <xf numFmtId="177" fontId="12" fillId="7" borderId="58" xfId="2" applyNumberFormat="1" applyFont="1" applyFill="1" applyBorder="1" applyAlignment="1">
      <alignment horizontal="center" vertical="center"/>
    </xf>
    <xf numFmtId="177" fontId="12" fillId="7" borderId="227" xfId="2" applyNumberFormat="1" applyFont="1" applyFill="1" applyBorder="1" applyAlignment="1">
      <alignment horizontal="center" vertical="center"/>
    </xf>
    <xf numFmtId="177" fontId="12" fillId="7" borderId="228" xfId="2" applyNumberFormat="1" applyFont="1" applyFill="1" applyBorder="1" applyAlignment="1">
      <alignment horizontal="center" vertical="center"/>
    </xf>
    <xf numFmtId="177" fontId="12" fillId="7" borderId="229" xfId="2" applyNumberFormat="1" applyFont="1" applyFill="1" applyBorder="1" applyAlignment="1">
      <alignment horizontal="center" vertical="center"/>
    </xf>
    <xf numFmtId="177" fontId="12" fillId="7" borderId="230" xfId="2" applyNumberFormat="1" applyFont="1" applyFill="1" applyBorder="1" applyAlignment="1">
      <alignment horizontal="center" vertical="center"/>
    </xf>
    <xf numFmtId="178" fontId="12" fillId="7" borderId="203" xfId="2" applyNumberFormat="1" applyFont="1" applyFill="1" applyBorder="1" applyAlignment="1">
      <alignment horizontal="center" vertical="center"/>
    </xf>
    <xf numFmtId="178" fontId="12" fillId="7" borderId="107" xfId="2" applyNumberFormat="1" applyFont="1" applyFill="1" applyBorder="1" applyAlignment="1">
      <alignment horizontal="center" vertical="center"/>
    </xf>
    <xf numFmtId="175" fontId="12" fillId="7" borderId="16" xfId="2" applyNumberFormat="1" applyFont="1" applyFill="1" applyBorder="1" applyAlignment="1">
      <alignment horizontal="center" vertical="center"/>
    </xf>
    <xf numFmtId="178" fontId="12" fillId="7" borderId="16" xfId="2" applyNumberFormat="1" applyFont="1" applyFill="1" applyBorder="1" applyAlignment="1">
      <alignment horizontal="center" vertical="center"/>
    </xf>
    <xf numFmtId="175" fontId="12" fillId="7" borderId="215" xfId="2" applyNumberFormat="1" applyFont="1" applyFill="1" applyBorder="1" applyAlignment="1">
      <alignment horizontal="center" vertical="center"/>
    </xf>
    <xf numFmtId="175" fontId="12" fillId="7" borderId="204" xfId="2" applyNumberFormat="1" applyFont="1" applyFill="1" applyBorder="1" applyAlignment="1">
      <alignment horizontal="center" vertical="center"/>
    </xf>
    <xf numFmtId="178" fontId="12" fillId="7" borderId="92" xfId="2" applyNumberFormat="1" applyFont="1" applyFill="1" applyBorder="1" applyAlignment="1">
      <alignment horizontal="center" vertical="center"/>
    </xf>
    <xf numFmtId="175" fontId="12" fillId="7" borderId="19" xfId="2" applyNumberFormat="1" applyFont="1" applyFill="1" applyBorder="1" applyAlignment="1">
      <alignment horizontal="center" vertical="center"/>
    </xf>
    <xf numFmtId="178" fontId="12" fillId="7" borderId="19" xfId="2" applyNumberFormat="1" applyFont="1" applyFill="1" applyBorder="1" applyAlignment="1">
      <alignment horizontal="center" vertical="center"/>
    </xf>
    <xf numFmtId="175" fontId="12" fillId="7" borderId="218" xfId="2" applyNumberFormat="1" applyFont="1" applyFill="1" applyBorder="1" applyAlignment="1">
      <alignment horizontal="center" vertical="center"/>
    </xf>
    <xf numFmtId="178" fontId="12" fillId="7" borderId="209" xfId="2" applyNumberFormat="1" applyFont="1" applyFill="1" applyBorder="1" applyAlignment="1">
      <alignment horizontal="center" vertical="center"/>
    </xf>
    <xf numFmtId="178" fontId="12" fillId="7" borderId="108" xfId="2" applyNumberFormat="1" applyFont="1" applyFill="1" applyBorder="1" applyAlignment="1">
      <alignment horizontal="center" vertical="center"/>
    </xf>
    <xf numFmtId="178" fontId="12" fillId="7" borderId="25" xfId="2" applyNumberFormat="1" applyFont="1" applyFill="1" applyBorder="1" applyAlignment="1">
      <alignment horizontal="center" vertical="center"/>
    </xf>
    <xf numFmtId="175" fontId="12" fillId="7" borderId="25" xfId="2" applyNumberFormat="1" applyFont="1" applyFill="1" applyBorder="1" applyAlignment="1">
      <alignment horizontal="center" vertical="center"/>
    </xf>
    <xf numFmtId="175" fontId="12" fillId="7" borderId="231" xfId="2" applyNumberFormat="1" applyFont="1" applyFill="1" applyBorder="1" applyAlignment="1">
      <alignment horizontal="center" vertical="center"/>
    </xf>
    <xf numFmtId="177" fontId="12" fillId="7" borderId="205" xfId="2" applyNumberFormat="1" applyFont="1" applyFill="1" applyBorder="1" applyAlignment="1">
      <alignment horizontal="center" vertical="center"/>
    </xf>
    <xf numFmtId="177" fontId="12" fillId="7" borderId="109" xfId="2" applyNumberFormat="1" applyFont="1" applyFill="1" applyBorder="1" applyAlignment="1">
      <alignment horizontal="center" vertical="center"/>
    </xf>
    <xf numFmtId="177" fontId="12" fillId="7" borderId="23" xfId="2" applyNumberFormat="1" applyFont="1" applyFill="1" applyBorder="1" applyAlignment="1">
      <alignment horizontal="center" vertical="center"/>
    </xf>
    <xf numFmtId="177" fontId="12" fillId="7" borderId="220" xfId="2" applyNumberFormat="1" applyFont="1" applyFill="1" applyBorder="1" applyAlignment="1">
      <alignment horizontal="center" vertical="center"/>
    </xf>
    <xf numFmtId="175" fontId="12" fillId="7" borderId="92" xfId="2" applyNumberFormat="1" applyFont="1" applyFill="1" applyBorder="1" applyAlignment="1">
      <alignment horizontal="center" vertical="center"/>
    </xf>
    <xf numFmtId="175" fontId="12" fillId="7" borderId="209" xfId="2" applyNumberFormat="1" applyFont="1" applyFill="1" applyBorder="1" applyAlignment="1">
      <alignment horizontal="center" vertical="center"/>
    </xf>
    <xf numFmtId="175" fontId="12" fillId="7" borderId="108" xfId="2" applyNumberFormat="1" applyFont="1" applyFill="1" applyBorder="1" applyAlignment="1">
      <alignment horizontal="center" vertical="center"/>
    </xf>
    <xf numFmtId="175" fontId="12" fillId="7" borderId="211" xfId="2" applyNumberFormat="1" applyFont="1" applyFill="1" applyBorder="1" applyAlignment="1">
      <alignment horizontal="center" vertical="center"/>
    </xf>
    <xf numFmtId="175" fontId="12" fillId="7" borderId="93" xfId="2" applyNumberFormat="1" applyFont="1" applyFill="1" applyBorder="1" applyAlignment="1">
      <alignment horizontal="center" vertical="center"/>
    </xf>
    <xf numFmtId="175" fontId="12" fillId="7" borderId="80" xfId="2" applyNumberFormat="1" applyFont="1" applyFill="1" applyBorder="1" applyAlignment="1">
      <alignment horizontal="center" vertical="center"/>
    </xf>
    <xf numFmtId="175" fontId="12" fillId="7" borderId="235" xfId="2" applyNumberFormat="1" applyFont="1" applyFill="1" applyBorder="1" applyAlignment="1">
      <alignment horizontal="center" vertical="center"/>
    </xf>
    <xf numFmtId="175" fontId="12" fillId="7" borderId="236" xfId="2" applyNumberFormat="1" applyFont="1" applyFill="1" applyBorder="1" applyAlignment="1">
      <alignment horizontal="center" vertical="center"/>
    </xf>
    <xf numFmtId="175" fontId="12" fillId="7" borderId="237" xfId="2" applyNumberFormat="1" applyFont="1" applyFill="1" applyBorder="1" applyAlignment="1">
      <alignment horizontal="center" vertical="center"/>
    </xf>
    <xf numFmtId="175" fontId="12" fillId="7" borderId="238" xfId="2" applyNumberFormat="1" applyFont="1" applyFill="1" applyBorder="1" applyAlignment="1">
      <alignment horizontal="center" vertical="center"/>
    </xf>
    <xf numFmtId="178" fontId="12" fillId="7" borderId="214" xfId="2" applyNumberFormat="1" applyFont="1" applyFill="1" applyBorder="1" applyAlignment="1">
      <alignment horizontal="center" vertical="center"/>
    </xf>
    <xf numFmtId="178" fontId="12" fillId="7" borderId="110" xfId="2" applyNumberFormat="1" applyFont="1" applyFill="1" applyBorder="1" applyAlignment="1">
      <alignment horizontal="center" vertical="center"/>
    </xf>
    <xf numFmtId="178" fontId="12" fillId="7" borderId="28" xfId="2" applyNumberFormat="1" applyFont="1" applyFill="1" applyBorder="1" applyAlignment="1">
      <alignment horizontal="center" vertical="center"/>
    </xf>
    <xf numFmtId="178" fontId="12" fillId="7" borderId="111" xfId="2" applyNumberFormat="1" applyFont="1" applyFill="1" applyBorder="1" applyAlignment="1">
      <alignment horizontal="center" vertical="center"/>
    </xf>
    <xf numFmtId="177" fontId="12" fillId="7" borderId="203" xfId="2" applyNumberFormat="1" applyFont="1" applyFill="1" applyBorder="1" applyAlignment="1">
      <alignment horizontal="center" vertical="center"/>
    </xf>
    <xf numFmtId="177" fontId="12" fillId="7" borderId="107" xfId="2" applyNumberFormat="1" applyFont="1" applyFill="1" applyBorder="1" applyAlignment="1">
      <alignment horizontal="center" vertical="center"/>
    </xf>
    <xf numFmtId="177" fontId="12" fillId="7" borderId="16" xfId="2" applyNumberFormat="1" applyFont="1" applyFill="1" applyBorder="1" applyAlignment="1">
      <alignment horizontal="center" vertical="center"/>
    </xf>
    <xf numFmtId="177" fontId="12" fillId="7" borderId="215" xfId="2" applyNumberFormat="1" applyFont="1" applyFill="1" applyBorder="1" applyAlignment="1">
      <alignment horizontal="center" vertical="center"/>
    </xf>
    <xf numFmtId="177" fontId="12" fillId="7" borderId="209" xfId="2" applyNumberFormat="1" applyFont="1" applyFill="1" applyBorder="1" applyAlignment="1">
      <alignment horizontal="center" vertical="center"/>
    </xf>
    <xf numFmtId="177" fontId="12" fillId="7" borderId="108" xfId="2" applyNumberFormat="1" applyFont="1" applyFill="1" applyBorder="1" applyAlignment="1">
      <alignment horizontal="center" vertical="center"/>
    </xf>
    <xf numFmtId="177" fontId="12" fillId="7" borderId="25" xfId="2" applyNumberFormat="1" applyFont="1" applyFill="1" applyBorder="1" applyAlignment="1">
      <alignment horizontal="center" vertical="center"/>
    </xf>
    <xf numFmtId="177" fontId="12" fillId="7" borderId="231" xfId="2" applyNumberFormat="1" applyFont="1" applyFill="1" applyBorder="1" applyAlignment="1">
      <alignment horizontal="center" vertical="center"/>
    </xf>
    <xf numFmtId="178" fontId="12" fillId="7" borderId="215" xfId="2" applyNumberFormat="1" applyFont="1" applyFill="1" applyBorder="1" applyAlignment="1">
      <alignment horizontal="center" vertical="center"/>
    </xf>
    <xf numFmtId="178" fontId="12" fillId="7" borderId="213" xfId="2" applyNumberFormat="1" applyFont="1" applyFill="1" applyBorder="1" applyAlignment="1">
      <alignment horizontal="center" vertical="center"/>
    </xf>
    <xf numFmtId="178" fontId="12" fillId="7" borderId="162" xfId="2" applyNumberFormat="1" applyFont="1" applyFill="1" applyBorder="1" applyAlignment="1">
      <alignment horizontal="center" vertical="center"/>
    </xf>
    <xf numFmtId="178" fontId="12" fillId="7" borderId="170" xfId="2" applyNumberFormat="1" applyFont="1" applyFill="1" applyBorder="1" applyAlignment="1">
      <alignment horizontal="center" vertical="center"/>
    </xf>
    <xf numFmtId="178" fontId="3" fillId="7" borderId="203" xfId="2" applyNumberFormat="1" applyFill="1" applyBorder="1" applyAlignment="1">
      <alignment horizontal="center" vertical="center"/>
    </xf>
    <xf numFmtId="178" fontId="3" fillId="7" borderId="107" xfId="2" applyNumberFormat="1" applyFill="1" applyBorder="1" applyAlignment="1">
      <alignment horizontal="center" vertical="center"/>
    </xf>
    <xf numFmtId="178" fontId="3" fillId="7" borderId="16" xfId="2" applyNumberFormat="1" applyFill="1" applyBorder="1" applyAlignment="1">
      <alignment horizontal="center" vertical="center"/>
    </xf>
    <xf numFmtId="178" fontId="10" fillId="7" borderId="16" xfId="2" applyNumberFormat="1" applyFont="1" applyFill="1" applyBorder="1" applyAlignment="1">
      <alignment horizontal="center" vertical="center"/>
    </xf>
    <xf numFmtId="178" fontId="10" fillId="7" borderId="215" xfId="2" applyNumberFormat="1" applyFont="1" applyFill="1" applyBorder="1" applyAlignment="1">
      <alignment horizontal="center" vertical="center"/>
    </xf>
    <xf numFmtId="178" fontId="3" fillId="7" borderId="204" xfId="2" applyNumberFormat="1" applyFill="1" applyBorder="1" applyAlignment="1">
      <alignment horizontal="center" vertical="center"/>
    </xf>
    <xf numFmtId="178" fontId="3" fillId="7" borderId="92" xfId="2" applyNumberFormat="1" applyFill="1" applyBorder="1" applyAlignment="1">
      <alignment horizontal="center" vertical="center"/>
    </xf>
    <xf numFmtId="178" fontId="3" fillId="7" borderId="19" xfId="2" applyNumberFormat="1" applyFill="1" applyBorder="1" applyAlignment="1">
      <alignment horizontal="center" vertical="center"/>
    </xf>
    <xf numFmtId="178" fontId="10" fillId="7" borderId="19" xfId="2" applyNumberFormat="1" applyFont="1" applyFill="1" applyBorder="1" applyAlignment="1">
      <alignment horizontal="center" vertical="center"/>
    </xf>
    <xf numFmtId="178" fontId="10" fillId="7" borderId="218" xfId="2" applyNumberFormat="1" applyFont="1" applyFill="1" applyBorder="1" applyAlignment="1">
      <alignment horizontal="center" vertical="center"/>
    </xf>
    <xf numFmtId="175" fontId="3" fillId="7" borderId="213" xfId="2" applyNumberFormat="1" applyFill="1" applyBorder="1" applyAlignment="1">
      <alignment horizontal="center" vertical="center"/>
    </xf>
    <xf numFmtId="175" fontId="3" fillId="7" borderId="162" xfId="2" applyNumberFormat="1" applyFill="1" applyBorder="1" applyAlignment="1">
      <alignment horizontal="center" vertical="center"/>
    </xf>
    <xf numFmtId="175" fontId="3" fillId="7" borderId="170" xfId="2" applyNumberFormat="1" applyFill="1" applyBorder="1" applyAlignment="1">
      <alignment horizontal="center" vertical="center"/>
    </xf>
    <xf numFmtId="175" fontId="10" fillId="7" borderId="170" xfId="2" applyNumberFormat="1" applyFont="1" applyFill="1" applyBorder="1" applyAlignment="1">
      <alignment horizontal="center" vertical="center"/>
    </xf>
    <xf numFmtId="175" fontId="10" fillId="7" borderId="216" xfId="2" applyNumberFormat="1" applyFont="1" applyFill="1" applyBorder="1" applyAlignment="1">
      <alignment horizontal="center" vertical="center"/>
    </xf>
    <xf numFmtId="178" fontId="3" fillId="7" borderId="213" xfId="2" applyNumberFormat="1" applyFill="1" applyBorder="1" applyAlignment="1">
      <alignment horizontal="center" vertical="center"/>
    </xf>
    <xf numFmtId="178" fontId="3" fillId="7" borderId="162" xfId="2" applyNumberFormat="1" applyFill="1" applyBorder="1" applyAlignment="1">
      <alignment horizontal="center" vertical="center"/>
    </xf>
    <xf numFmtId="178" fontId="3" fillId="7" borderId="170" xfId="2" applyNumberFormat="1" applyFill="1" applyBorder="1" applyAlignment="1">
      <alignment horizontal="center" vertical="center"/>
    </xf>
    <xf numFmtId="178" fontId="10" fillId="7" borderId="170" xfId="2" applyNumberFormat="1" applyFont="1" applyFill="1" applyBorder="1" applyAlignment="1">
      <alignment horizontal="center" vertical="center"/>
    </xf>
    <xf numFmtId="178" fontId="10" fillId="7" borderId="216" xfId="2" applyNumberFormat="1" applyFont="1" applyFill="1" applyBorder="1" applyAlignment="1">
      <alignment horizontal="center" vertical="center"/>
    </xf>
    <xf numFmtId="178" fontId="3" fillId="7" borderId="209" xfId="2" applyNumberFormat="1" applyFill="1" applyBorder="1" applyAlignment="1">
      <alignment horizontal="center" vertical="center"/>
    </xf>
    <xf numFmtId="178" fontId="3" fillId="7" borderId="108" xfId="2" applyNumberFormat="1" applyFill="1" applyBorder="1" applyAlignment="1">
      <alignment horizontal="center" vertical="center"/>
    </xf>
    <xf numFmtId="178" fontId="3" fillId="7" borderId="25" xfId="2" applyNumberFormat="1" applyFill="1" applyBorder="1" applyAlignment="1">
      <alignment horizontal="center" vertical="center"/>
    </xf>
    <xf numFmtId="178" fontId="10" fillId="7" borderId="25" xfId="2" applyNumberFormat="1" applyFont="1" applyFill="1" applyBorder="1" applyAlignment="1">
      <alignment horizontal="center" vertical="center"/>
    </xf>
    <xf numFmtId="178" fontId="10" fillId="7" borderId="231" xfId="2" applyNumberFormat="1" applyFont="1" applyFill="1" applyBorder="1" applyAlignment="1">
      <alignment horizontal="center" vertical="center"/>
    </xf>
    <xf numFmtId="177" fontId="0" fillId="7" borderId="205" xfId="0" applyNumberFormat="1" applyFill="1" applyBorder="1" applyAlignment="1">
      <alignment horizontal="center" vertical="center"/>
    </xf>
    <xf numFmtId="177" fontId="0" fillId="7" borderId="109" xfId="0" applyNumberFormat="1" applyFill="1" applyBorder="1" applyAlignment="1">
      <alignment horizontal="center" vertical="center"/>
    </xf>
    <xf numFmtId="177" fontId="0" fillId="7" borderId="23" xfId="0" applyNumberFormat="1" applyFill="1" applyBorder="1" applyAlignment="1">
      <alignment horizontal="center" vertical="center"/>
    </xf>
    <xf numFmtId="177" fontId="0" fillId="7" borderId="220" xfId="0" applyNumberFormat="1" applyFill="1" applyBorder="1" applyAlignment="1">
      <alignment horizontal="center" vertical="center"/>
    </xf>
    <xf numFmtId="175" fontId="10" fillId="7" borderId="204" xfId="0" applyNumberFormat="1" applyFont="1" applyFill="1" applyBorder="1" applyAlignment="1">
      <alignment horizontal="center" vertical="center"/>
    </xf>
    <xf numFmtId="175" fontId="10" fillId="7" borderId="92" xfId="0" applyNumberFormat="1" applyFont="1" applyFill="1" applyBorder="1" applyAlignment="1">
      <alignment horizontal="center" vertical="center"/>
    </xf>
    <xf numFmtId="178" fontId="10" fillId="7" borderId="92" xfId="0" applyNumberFormat="1" applyFont="1" applyFill="1" applyBorder="1" applyAlignment="1">
      <alignment horizontal="center" vertical="center"/>
    </xf>
    <xf numFmtId="175" fontId="10" fillId="7" borderId="127" xfId="0" applyNumberFormat="1" applyFont="1" applyFill="1" applyBorder="1" applyAlignment="1">
      <alignment horizontal="center" vertical="center"/>
    </xf>
    <xf numFmtId="175" fontId="10" fillId="7" borderId="214" xfId="0" applyNumberFormat="1" applyFont="1" applyFill="1" applyBorder="1" applyAlignment="1">
      <alignment horizontal="center"/>
    </xf>
    <xf numFmtId="175" fontId="10" fillId="7" borderId="110" xfId="0" applyNumberFormat="1" applyFont="1" applyFill="1" applyBorder="1" applyAlignment="1">
      <alignment horizontal="center"/>
    </xf>
    <xf numFmtId="178" fontId="10" fillId="7" borderId="28" xfId="0" applyNumberFormat="1" applyFont="1" applyFill="1" applyBorder="1" applyAlignment="1">
      <alignment horizontal="center"/>
    </xf>
    <xf numFmtId="175" fontId="10" fillId="7" borderId="28" xfId="0" applyNumberFormat="1" applyFont="1" applyFill="1" applyBorder="1" applyAlignment="1">
      <alignment horizontal="center"/>
    </xf>
    <xf numFmtId="175" fontId="10" fillId="7" borderId="111" xfId="0" applyNumberFormat="1" applyFont="1" applyFill="1" applyBorder="1" applyAlignment="1">
      <alignment horizontal="center"/>
    </xf>
    <xf numFmtId="176" fontId="12" fillId="7" borderId="210" xfId="2" applyNumberFormat="1" applyFont="1" applyFill="1" applyBorder="1" applyAlignment="1">
      <alignment horizontal="center" vertical="center"/>
    </xf>
    <xf numFmtId="176" fontId="12" fillId="7" borderId="106" xfId="2" applyNumberFormat="1" applyFont="1" applyFill="1" applyBorder="1" applyAlignment="1">
      <alignment horizontal="center" vertical="center"/>
    </xf>
    <xf numFmtId="176" fontId="12" fillId="7" borderId="83" xfId="2" applyNumberFormat="1" applyFont="1" applyFill="1" applyBorder="1" applyAlignment="1">
      <alignment horizontal="center" vertical="center"/>
    </xf>
    <xf numFmtId="176" fontId="12" fillId="7" borderId="224" xfId="2" applyNumberFormat="1" applyFont="1" applyFill="1" applyBorder="1" applyAlignment="1">
      <alignment horizontal="center" vertical="center"/>
    </xf>
    <xf numFmtId="178" fontId="12" fillId="7" borderId="210" xfId="2" applyNumberFormat="1" applyFont="1" applyFill="1" applyBorder="1" applyAlignment="1">
      <alignment horizontal="center" vertical="center"/>
    </xf>
    <xf numFmtId="178" fontId="12" fillId="7" borderId="106" xfId="2" applyNumberFormat="1" applyFont="1" applyFill="1" applyBorder="1" applyAlignment="1">
      <alignment horizontal="center" vertical="center"/>
    </xf>
    <xf numFmtId="178" fontId="12" fillId="7" borderId="83" xfId="2" applyNumberFormat="1" applyFont="1" applyFill="1" applyBorder="1" applyAlignment="1">
      <alignment horizontal="center" vertical="center"/>
    </xf>
    <xf numFmtId="175" fontId="12" fillId="7" borderId="83" xfId="2" applyNumberFormat="1" applyFont="1" applyFill="1" applyBorder="1" applyAlignment="1">
      <alignment horizontal="center" vertical="center"/>
    </xf>
    <xf numFmtId="175" fontId="12" fillId="7" borderId="224" xfId="2" applyNumberFormat="1" applyFont="1" applyFill="1" applyBorder="1" applyAlignment="1">
      <alignment horizontal="center" vertical="center"/>
    </xf>
    <xf numFmtId="177" fontId="14" fillId="21" borderId="3" xfId="1" applyNumberFormat="1" applyFont="1" applyFill="1" applyBorder="1" applyAlignment="1" applyProtection="1">
      <alignment horizontal="center" vertical="center"/>
      <protection hidden="1"/>
    </xf>
    <xf numFmtId="177" fontId="14" fillId="6" borderId="54" xfId="1" applyNumberFormat="1" applyFont="1" applyFill="1" applyBorder="1" applyAlignment="1" applyProtection="1">
      <alignment horizontal="center" vertical="center"/>
      <protection hidden="1"/>
    </xf>
    <xf numFmtId="177" fontId="14" fillId="21" borderId="54" xfId="1" applyNumberFormat="1" applyFont="1" applyFill="1" applyBorder="1" applyAlignment="1" applyProtection="1">
      <alignment horizontal="center" vertical="center"/>
      <protection hidden="1"/>
    </xf>
    <xf numFmtId="177" fontId="14" fillId="21" borderId="10" xfId="1" applyNumberFormat="1" applyFont="1" applyFill="1" applyBorder="1" applyAlignment="1" applyProtection="1">
      <alignment horizontal="center" vertical="center"/>
      <protection hidden="1"/>
    </xf>
    <xf numFmtId="177" fontId="14" fillId="0" borderId="14" xfId="1" applyNumberFormat="1" applyFont="1" applyFill="1" applyBorder="1" applyAlignment="1" applyProtection="1">
      <alignment horizontal="center" vertical="center"/>
      <protection hidden="1"/>
    </xf>
    <xf numFmtId="177" fontId="14" fillId="21" borderId="17" xfId="1" applyNumberFormat="1" applyFont="1" applyFill="1" applyBorder="1" applyAlignment="1" applyProtection="1">
      <alignment horizontal="center" vertical="center"/>
      <protection hidden="1"/>
    </xf>
    <xf numFmtId="177" fontId="14" fillId="6" borderId="11" xfId="1" applyNumberFormat="1" applyFont="1" applyFill="1" applyBorder="1" applyAlignment="1" applyProtection="1">
      <alignment horizontal="center" vertical="center"/>
      <protection hidden="1"/>
    </xf>
    <xf numFmtId="177" fontId="14" fillId="0" borderId="6" xfId="1" applyNumberFormat="1" applyFont="1" applyFill="1" applyBorder="1" applyAlignment="1" applyProtection="1">
      <alignment horizontal="center" vertical="center"/>
      <protection hidden="1"/>
    </xf>
    <xf numFmtId="177" fontId="14" fillId="6" borderId="3" xfId="1" applyNumberFormat="1" applyFont="1" applyFill="1" applyBorder="1" applyAlignment="1" applyProtection="1">
      <alignment horizontal="center" vertical="center"/>
      <protection hidden="1"/>
    </xf>
    <xf numFmtId="177" fontId="14" fillId="15" borderId="80" xfId="1" applyNumberFormat="1" applyFont="1" applyFill="1" applyBorder="1" applyAlignment="1" applyProtection="1">
      <alignment horizontal="center" vertical="center"/>
      <protection hidden="1"/>
    </xf>
    <xf numFmtId="177" fontId="14" fillId="6" borderId="80" xfId="1" applyNumberFormat="1" applyFont="1" applyFill="1" applyBorder="1" applyAlignment="1" applyProtection="1">
      <alignment horizontal="center" vertical="center"/>
      <protection hidden="1"/>
    </xf>
    <xf numFmtId="177" fontId="18" fillId="15" borderId="80" xfId="1" applyNumberFormat="1" applyFont="1" applyFill="1" applyBorder="1" applyAlignment="1" applyProtection="1">
      <alignment horizontal="center" vertical="center"/>
      <protection hidden="1"/>
    </xf>
    <xf numFmtId="177" fontId="14" fillId="6" borderId="90" xfId="1" applyNumberFormat="1" applyFont="1" applyFill="1" applyBorder="1" applyAlignment="1" applyProtection="1">
      <alignment horizontal="center" vertical="center"/>
      <protection hidden="1"/>
    </xf>
    <xf numFmtId="177" fontId="14" fillId="15" borderId="91" xfId="1" applyNumberFormat="1" applyFont="1" applyFill="1" applyBorder="1" applyAlignment="1" applyProtection="1">
      <alignment horizontal="center" vertical="center"/>
      <protection hidden="1"/>
    </xf>
    <xf numFmtId="177" fontId="14" fillId="0" borderId="80" xfId="1" applyNumberFormat="1" applyFont="1" applyFill="1" applyBorder="1" applyAlignment="1" applyProtection="1">
      <alignment horizontal="center" vertical="center"/>
      <protection hidden="1"/>
    </xf>
    <xf numFmtId="177" fontId="14" fillId="19" borderId="90" xfId="1" applyNumberFormat="1" applyFont="1" applyFill="1" applyBorder="1" applyAlignment="1" applyProtection="1">
      <alignment horizontal="center" vertical="center"/>
      <protection hidden="1"/>
    </xf>
    <xf numFmtId="177" fontId="14" fillId="19" borderId="91" xfId="1" applyNumberFormat="1" applyFont="1" applyFill="1" applyBorder="1" applyAlignment="1" applyProtection="1">
      <alignment horizontal="center" vertical="center"/>
      <protection hidden="1"/>
    </xf>
    <xf numFmtId="177" fontId="14" fillId="19" borderId="80" xfId="1" applyNumberFormat="1" applyFont="1" applyFill="1" applyBorder="1" applyAlignment="1" applyProtection="1">
      <alignment horizontal="center" vertical="center"/>
      <protection hidden="1"/>
    </xf>
    <xf numFmtId="177" fontId="14" fillId="0" borderId="3" xfId="1" applyNumberFormat="1" applyFont="1" applyFill="1" applyBorder="1" applyAlignment="1" applyProtection="1">
      <alignment horizontal="center" vertical="center"/>
      <protection hidden="1"/>
    </xf>
    <xf numFmtId="177" fontId="14" fillId="0" borderId="91" xfId="1" applyNumberFormat="1" applyFont="1" applyFill="1" applyBorder="1" applyAlignment="1" applyProtection="1">
      <alignment horizontal="center" vertical="center"/>
      <protection hidden="1"/>
    </xf>
    <xf numFmtId="177" fontId="17" fillId="11" borderId="32" xfId="0" applyNumberFormat="1" applyFont="1" applyFill="1" applyBorder="1" applyAlignment="1" applyProtection="1">
      <alignment horizontal="center" vertical="center"/>
      <protection hidden="1"/>
    </xf>
    <xf numFmtId="177" fontId="17" fillId="11" borderId="79" xfId="1" applyNumberFormat="1" applyFont="1" applyFill="1" applyBorder="1" applyAlignment="1" applyProtection="1">
      <alignment horizontal="center" vertical="center"/>
      <protection hidden="1"/>
    </xf>
    <xf numFmtId="177" fontId="14" fillId="23" borderId="89" xfId="1" applyNumberFormat="1" applyFont="1" applyFill="1" applyBorder="1" applyAlignment="1" applyProtection="1">
      <alignment horizontal="center" vertical="center"/>
      <protection hidden="1"/>
    </xf>
    <xf numFmtId="177" fontId="14" fillId="23" borderId="10" xfId="1" applyNumberFormat="1" applyFont="1" applyFill="1" applyBorder="1" applyAlignment="1" applyProtection="1">
      <alignment horizontal="center" vertical="center"/>
      <protection hidden="1"/>
    </xf>
    <xf numFmtId="177" fontId="17" fillId="12" borderId="31" xfId="0" applyNumberFormat="1" applyFont="1" applyFill="1" applyBorder="1" applyAlignment="1" applyProtection="1">
      <alignment vertical="center" wrapText="1"/>
      <protection hidden="1"/>
    </xf>
    <xf numFmtId="177" fontId="17" fillId="11" borderId="80" xfId="0" applyNumberFormat="1" applyFont="1" applyFill="1" applyBorder="1" applyAlignment="1" applyProtection="1">
      <alignment vertical="center"/>
      <protection hidden="1"/>
    </xf>
    <xf numFmtId="177" fontId="14" fillId="6" borderId="6" xfId="1" applyNumberFormat="1" applyFont="1" applyFill="1" applyBorder="1" applyAlignment="1" applyProtection="1">
      <alignment horizontal="center" vertical="center"/>
      <protection hidden="1"/>
    </xf>
    <xf numFmtId="177" fontId="26" fillId="24" borderId="31" xfId="1" applyNumberFormat="1" applyFont="1" applyFill="1" applyBorder="1" applyAlignment="1" applyProtection="1">
      <alignment horizontal="center" vertical="center"/>
      <protection hidden="1"/>
    </xf>
    <xf numFmtId="177" fontId="20" fillId="17" borderId="31" xfId="1" applyNumberFormat="1" applyFont="1" applyFill="1" applyBorder="1" applyAlignment="1" applyProtection="1">
      <alignment horizontal="center" vertical="center"/>
      <protection hidden="1"/>
    </xf>
    <xf numFmtId="176" fontId="14" fillId="22" borderId="86" xfId="1" applyNumberFormat="1" applyFont="1" applyFill="1" applyBorder="1" applyAlignment="1" applyProtection="1">
      <alignment horizontal="center" vertical="center"/>
      <protection locked="0"/>
    </xf>
    <xf numFmtId="178" fontId="14" fillId="0" borderId="80" xfId="1" applyNumberFormat="1" applyFont="1" applyFill="1" applyBorder="1" applyAlignment="1" applyProtection="1">
      <alignment horizontal="center" vertical="center"/>
      <protection hidden="1"/>
    </xf>
    <xf numFmtId="178" fontId="14" fillId="19" borderId="91" xfId="1" applyNumberFormat="1" applyFont="1" applyFill="1" applyBorder="1" applyAlignment="1" applyProtection="1">
      <alignment horizontal="center" vertical="center"/>
      <protection hidden="1"/>
    </xf>
    <xf numFmtId="175" fontId="14" fillId="19" borderId="90" xfId="1" applyNumberFormat="1" applyFont="1" applyFill="1" applyBorder="1" applyAlignment="1" applyProtection="1">
      <alignment horizontal="center" vertical="center"/>
      <protection hidden="1"/>
    </xf>
    <xf numFmtId="175" fontId="14" fillId="6" borderId="80" xfId="1" applyNumberFormat="1" applyFont="1" applyFill="1" applyBorder="1" applyAlignment="1" applyProtection="1">
      <alignment horizontal="center" vertical="center"/>
      <protection hidden="1"/>
    </xf>
    <xf numFmtId="175" fontId="18" fillId="15" borderId="80" xfId="1" applyNumberFormat="1" applyFont="1" applyFill="1" applyBorder="1" applyAlignment="1" applyProtection="1">
      <alignment horizontal="center" vertical="center"/>
      <protection hidden="1"/>
    </xf>
    <xf numFmtId="175" fontId="14" fillId="6" borderId="90" xfId="1" applyNumberFormat="1" applyFont="1" applyFill="1" applyBorder="1" applyAlignment="1" applyProtection="1">
      <alignment horizontal="center" vertical="center"/>
      <protection hidden="1"/>
    </xf>
    <xf numFmtId="175" fontId="14" fillId="15" borderId="80" xfId="1" applyNumberFormat="1" applyFont="1" applyFill="1" applyBorder="1" applyAlignment="1" applyProtection="1">
      <alignment horizontal="center" vertical="center"/>
      <protection hidden="1"/>
    </xf>
    <xf numFmtId="175" fontId="14" fillId="15" borderId="91" xfId="1" applyNumberFormat="1" applyFont="1" applyFill="1" applyBorder="1" applyAlignment="1" applyProtection="1">
      <alignment horizontal="center" vertical="center"/>
      <protection hidden="1"/>
    </xf>
    <xf numFmtId="175" fontId="14" fillId="0" borderId="80" xfId="1" applyNumberFormat="1" applyFont="1" applyFill="1" applyBorder="1" applyAlignment="1" applyProtection="1">
      <alignment horizontal="center" vertical="center"/>
      <protection hidden="1"/>
    </xf>
    <xf numFmtId="175" fontId="14" fillId="0" borderId="3" xfId="1" applyNumberFormat="1" applyFont="1" applyFill="1" applyBorder="1" applyAlignment="1" applyProtection="1">
      <alignment horizontal="center" vertical="center"/>
      <protection hidden="1"/>
    </xf>
    <xf numFmtId="175" fontId="14" fillId="19" borderId="80" xfId="1" applyNumberFormat="1" applyFont="1" applyFill="1" applyBorder="1" applyAlignment="1" applyProtection="1">
      <alignment horizontal="center" vertical="center"/>
      <protection hidden="1"/>
    </xf>
    <xf numFmtId="175" fontId="14" fillId="19" borderId="91" xfId="1" applyNumberFormat="1" applyFont="1" applyFill="1" applyBorder="1" applyAlignment="1" applyProtection="1">
      <alignment horizontal="center" vertical="center"/>
      <protection hidden="1"/>
    </xf>
    <xf numFmtId="175" fontId="14" fillId="0" borderId="91" xfId="1" applyNumberFormat="1" applyFont="1" applyFill="1" applyBorder="1" applyAlignment="1" applyProtection="1">
      <alignment horizontal="center" vertical="center"/>
      <protection hidden="1"/>
    </xf>
    <xf numFmtId="175" fontId="14" fillId="6" borderId="3" xfId="1" applyNumberFormat="1" applyFont="1" applyFill="1" applyBorder="1" applyAlignment="1" applyProtection="1">
      <alignment horizontal="center" vertical="center"/>
      <protection hidden="1"/>
    </xf>
    <xf numFmtId="175" fontId="14" fillId="23" borderId="89" xfId="1" applyNumberFormat="1" applyFont="1" applyFill="1" applyBorder="1" applyAlignment="1" applyProtection="1">
      <alignment horizontal="center" vertical="center"/>
      <protection hidden="1"/>
    </xf>
    <xf numFmtId="175" fontId="14" fillId="23" borderId="10" xfId="1" applyNumberFormat="1" applyFont="1" applyFill="1" applyBorder="1" applyAlignment="1" applyProtection="1">
      <alignment horizontal="center" vertical="center"/>
      <protection hidden="1"/>
    </xf>
    <xf numFmtId="175" fontId="14" fillId="6" borderId="6" xfId="1" applyNumberFormat="1" applyFont="1" applyFill="1" applyBorder="1" applyAlignment="1" applyProtection="1">
      <alignment horizontal="center" vertical="center"/>
      <protection hidden="1"/>
    </xf>
    <xf numFmtId="177" fontId="14" fillId="21" borderId="53" xfId="1" applyNumberFormat="1" applyFont="1" applyFill="1" applyBorder="1" applyAlignment="1" applyProtection="1">
      <alignment horizontal="center" vertical="center"/>
      <protection hidden="1"/>
    </xf>
    <xf numFmtId="177" fontId="14" fillId="0" borderId="180" xfId="1" applyNumberFormat="1" applyFont="1" applyFill="1" applyBorder="1" applyAlignment="1" applyProtection="1">
      <alignment horizontal="center" vertical="center"/>
      <protection hidden="1"/>
    </xf>
    <xf numFmtId="177" fontId="14" fillId="21" borderId="181" xfId="1" applyNumberFormat="1" applyFont="1" applyFill="1" applyBorder="1" applyAlignment="1" applyProtection="1">
      <alignment horizontal="center" vertical="center"/>
      <protection hidden="1"/>
    </xf>
    <xf numFmtId="177" fontId="14" fillId="0" borderId="53" xfId="1" applyNumberFormat="1" applyFont="1" applyFill="1" applyBorder="1" applyAlignment="1" applyProtection="1">
      <alignment horizontal="center" vertical="center"/>
      <protection hidden="1"/>
    </xf>
    <xf numFmtId="177" fontId="14" fillId="21" borderId="180" xfId="1" applyNumberFormat="1" applyFont="1" applyFill="1" applyBorder="1" applyAlignment="1" applyProtection="1">
      <alignment horizontal="center" vertical="center"/>
      <protection hidden="1"/>
    </xf>
    <xf numFmtId="177" fontId="14" fillId="0" borderId="181" xfId="1" applyNumberFormat="1" applyFont="1" applyFill="1" applyBorder="1" applyAlignment="1" applyProtection="1">
      <alignment horizontal="center" vertical="center"/>
      <protection hidden="1"/>
    </xf>
    <xf numFmtId="177" fontId="14" fillId="21" borderId="186" xfId="1" applyNumberFormat="1" applyFont="1" applyFill="1" applyBorder="1" applyAlignment="1" applyProtection="1">
      <alignment horizontal="center" vertical="center"/>
      <protection hidden="1"/>
    </xf>
    <xf numFmtId="177" fontId="14" fillId="21" borderId="196" xfId="1" applyNumberFormat="1" applyFont="1" applyFill="1" applyBorder="1" applyAlignment="1" applyProtection="1">
      <alignment horizontal="center" vertical="center"/>
      <protection hidden="1"/>
    </xf>
    <xf numFmtId="177" fontId="14" fillId="0" borderId="197" xfId="1" applyNumberFormat="1" applyFont="1" applyFill="1" applyBorder="1" applyAlignment="1" applyProtection="1">
      <alignment horizontal="center" vertical="center"/>
      <protection hidden="1"/>
    </xf>
    <xf numFmtId="177" fontId="14" fillId="23" borderId="58" xfId="1" applyNumberFormat="1" applyFont="1" applyFill="1" applyBorder="1" applyAlignment="1" applyProtection="1">
      <alignment horizontal="center" vertical="center"/>
      <protection hidden="1"/>
    </xf>
    <xf numFmtId="177" fontId="14" fillId="6" borderId="111" xfId="1" applyNumberFormat="1" applyFont="1" applyFill="1" applyBorder="1" applyAlignment="1" applyProtection="1">
      <alignment horizontal="center" vertical="center"/>
      <protection hidden="1"/>
    </xf>
    <xf numFmtId="177" fontId="14" fillId="23" borderId="80" xfId="1" applyNumberFormat="1" applyFont="1" applyFill="1" applyBorder="1" applyAlignment="1" applyProtection="1">
      <alignment horizontal="center" vertical="center"/>
      <protection hidden="1"/>
    </xf>
    <xf numFmtId="177" fontId="14" fillId="6" borderId="10" xfId="1" applyNumberFormat="1" applyFont="1" applyFill="1" applyBorder="1" applyAlignment="1" applyProtection="1">
      <alignment horizontal="center" vertical="center"/>
      <protection hidden="1"/>
    </xf>
    <xf numFmtId="177" fontId="14" fillId="21" borderId="14" xfId="1" applyNumberFormat="1" applyFont="1" applyFill="1" applyBorder="1" applyAlignment="1" applyProtection="1">
      <alignment horizontal="center" vertical="center"/>
      <protection hidden="1"/>
    </xf>
    <xf numFmtId="175" fontId="14" fillId="21" borderId="186" xfId="1" applyNumberFormat="1" applyFont="1" applyFill="1" applyBorder="1" applyAlignment="1" applyProtection="1">
      <alignment horizontal="center" vertical="center"/>
      <protection hidden="1"/>
    </xf>
    <xf numFmtId="177" fontId="14" fillId="16" borderId="31" xfId="0" applyNumberFormat="1" applyFont="1" applyFill="1" applyBorder="1" applyAlignment="1" applyProtection="1">
      <alignment horizontal="center" vertical="center"/>
      <protection hidden="1"/>
    </xf>
    <xf numFmtId="177" fontId="14" fillId="15" borderId="33" xfId="1" applyNumberFormat="1" applyFont="1" applyFill="1" applyBorder="1" applyAlignment="1" applyProtection="1">
      <alignment horizontal="center" vertical="center"/>
      <protection hidden="1"/>
    </xf>
    <xf numFmtId="177" fontId="14" fillId="6" borderId="33" xfId="1" applyNumberFormat="1" applyFont="1" applyFill="1" applyBorder="1" applyAlignment="1" applyProtection="1">
      <alignment horizontal="center" vertical="center"/>
      <protection hidden="1"/>
    </xf>
    <xf numFmtId="177" fontId="14" fillId="26" borderId="26" xfId="1" applyNumberFormat="1" applyFont="1" applyFill="1" applyBorder="1" applyAlignment="1" applyProtection="1">
      <alignment horizontal="center" vertical="center"/>
      <protection hidden="1"/>
    </xf>
    <xf numFmtId="177" fontId="16" fillId="11" borderId="32" xfId="0" applyNumberFormat="1" applyFont="1" applyFill="1" applyBorder="1" applyAlignment="1" applyProtection="1">
      <alignment horizontal="center" vertical="center"/>
      <protection hidden="1"/>
    </xf>
    <xf numFmtId="177" fontId="17" fillId="11" borderId="37" xfId="0" applyNumberFormat="1" applyFont="1" applyFill="1" applyBorder="1" applyAlignment="1" applyProtection="1">
      <alignment vertical="center"/>
      <protection hidden="1"/>
    </xf>
    <xf numFmtId="177" fontId="14" fillId="19" borderId="33" xfId="1" applyNumberFormat="1" applyFont="1" applyFill="1" applyBorder="1" applyAlignment="1" applyProtection="1">
      <alignment horizontal="center" vertical="center"/>
      <protection hidden="1"/>
    </xf>
    <xf numFmtId="177" fontId="14" fillId="6" borderId="26" xfId="1" applyNumberFormat="1" applyFont="1" applyFill="1" applyBorder="1" applyAlignment="1" applyProtection="1">
      <alignment horizontal="center" vertical="center"/>
      <protection hidden="1"/>
    </xf>
    <xf numFmtId="177" fontId="17" fillId="12" borderId="32" xfId="0" applyNumberFormat="1" applyFont="1" applyFill="1" applyBorder="1" applyAlignment="1" applyProtection="1">
      <alignment horizontal="center" vertical="center"/>
      <protection hidden="1"/>
    </xf>
    <xf numFmtId="177" fontId="17" fillId="11" borderId="37" xfId="1" applyNumberFormat="1" applyFont="1" applyFill="1" applyBorder="1" applyAlignment="1" applyProtection="1">
      <alignment horizontal="center" vertical="center"/>
      <protection hidden="1"/>
    </xf>
    <xf numFmtId="177" fontId="14" fillId="6" borderId="31" xfId="1" applyNumberFormat="1" applyFont="1" applyFill="1" applyBorder="1" applyAlignment="1" applyProtection="1">
      <alignment horizontal="center" vertical="center"/>
      <protection hidden="1"/>
    </xf>
    <xf numFmtId="177" fontId="14" fillId="21" borderId="31" xfId="1" applyNumberFormat="1" applyFont="1" applyFill="1" applyBorder="1" applyAlignment="1" applyProtection="1">
      <alignment horizontal="center" vertical="center"/>
      <protection hidden="1"/>
    </xf>
    <xf numFmtId="177" fontId="14" fillId="21" borderId="38" xfId="1" applyNumberFormat="1" applyFont="1" applyFill="1" applyBorder="1" applyAlignment="1" applyProtection="1">
      <alignment horizontal="center" vertical="center"/>
      <protection hidden="1"/>
    </xf>
    <xf numFmtId="177" fontId="14" fillId="6" borderId="43" xfId="1" applyNumberFormat="1" applyFont="1" applyFill="1" applyBorder="1" applyAlignment="1" applyProtection="1">
      <alignment horizontal="center" vertical="center"/>
      <protection hidden="1"/>
    </xf>
    <xf numFmtId="177" fontId="14" fillId="21" borderId="43" xfId="1" applyNumberFormat="1" applyFont="1" applyFill="1" applyBorder="1" applyAlignment="1" applyProtection="1">
      <alignment horizontal="center" vertical="center"/>
      <protection hidden="1"/>
    </xf>
    <xf numFmtId="177" fontId="14" fillId="21" borderId="73" xfId="1" applyNumberFormat="1" applyFont="1" applyFill="1" applyBorder="1" applyAlignment="1" applyProtection="1">
      <alignment horizontal="center" vertical="center"/>
      <protection hidden="1"/>
    </xf>
    <xf numFmtId="177" fontId="14" fillId="6" borderId="73" xfId="1" applyNumberFormat="1" applyFont="1" applyFill="1" applyBorder="1" applyAlignment="1" applyProtection="1">
      <alignment horizontal="center" vertical="center"/>
      <protection hidden="1"/>
    </xf>
    <xf numFmtId="177" fontId="14" fillId="6" borderId="32" xfId="1" applyNumberFormat="1" applyFont="1" applyFill="1" applyBorder="1" applyAlignment="1" applyProtection="1">
      <alignment horizontal="center" vertical="center"/>
      <protection hidden="1"/>
    </xf>
    <xf numFmtId="177" fontId="14" fillId="21" borderId="36" xfId="1" applyNumberFormat="1" applyFont="1" applyFill="1" applyBorder="1" applyAlignment="1" applyProtection="1">
      <alignment horizontal="center" vertical="center"/>
      <protection hidden="1"/>
    </xf>
    <xf numFmtId="177" fontId="14" fillId="23" borderId="40" xfId="1" applyNumberFormat="1" applyFont="1" applyFill="1" applyBorder="1" applyAlignment="1" applyProtection="1">
      <alignment horizontal="center" vertical="center"/>
      <protection hidden="1"/>
    </xf>
    <xf numFmtId="177" fontId="17" fillId="12" borderId="32" xfId="0" applyNumberFormat="1" applyFont="1" applyFill="1" applyBorder="1" applyAlignment="1" applyProtection="1">
      <alignment vertical="center" wrapText="1"/>
      <protection hidden="1"/>
    </xf>
    <xf numFmtId="177" fontId="26" fillId="24" borderId="0" xfId="1" applyNumberFormat="1" applyFont="1" applyFill="1" applyBorder="1" applyAlignment="1" applyProtection="1">
      <alignment horizontal="center" vertical="center"/>
      <protection hidden="1"/>
    </xf>
    <xf numFmtId="177" fontId="20" fillId="17" borderId="0" xfId="1" applyNumberFormat="1" applyFont="1" applyFill="1" applyBorder="1" applyAlignment="1" applyProtection="1">
      <alignment horizontal="center" vertical="center"/>
      <protection hidden="1"/>
    </xf>
    <xf numFmtId="176" fontId="14" fillId="22" borderId="39" xfId="1" applyNumberFormat="1" applyFont="1" applyFill="1" applyBorder="1" applyAlignment="1" applyProtection="1">
      <alignment horizontal="center" vertical="center"/>
      <protection locked="0"/>
    </xf>
    <xf numFmtId="177" fontId="2" fillId="32" borderId="11" xfId="4" applyNumberFormat="1" applyFont="1" applyFill="1" applyBorder="1" applyAlignment="1" applyProtection="1">
      <alignment horizontal="center" vertical="center" wrapText="1"/>
      <protection hidden="1"/>
    </xf>
    <xf numFmtId="0" fontId="0" fillId="7" borderId="0" xfId="0" applyFill="1"/>
    <xf numFmtId="0" fontId="13" fillId="13" borderId="0" xfId="0" applyFont="1" applyFill="1" applyAlignment="1" applyProtection="1">
      <alignment horizontal="center" vertical="center"/>
      <protection hidden="1"/>
    </xf>
    <xf numFmtId="0" fontId="0" fillId="7" borderId="0" xfId="0" applyFill="1" applyAlignment="1">
      <alignment vertical="center"/>
    </xf>
    <xf numFmtId="0" fontId="50" fillId="11" borderId="140" xfId="0" applyFont="1" applyFill="1" applyBorder="1" applyAlignment="1" applyProtection="1">
      <alignment horizontal="left" vertical="center" wrapText="1" indent="1"/>
      <protection hidden="1"/>
    </xf>
    <xf numFmtId="0" fontId="50" fillId="11" borderId="141" xfId="0" applyFont="1" applyFill="1" applyBorder="1" applyAlignment="1" applyProtection="1">
      <alignment horizontal="left" vertical="center" wrapText="1" indent="1"/>
      <protection hidden="1"/>
    </xf>
    <xf numFmtId="0" fontId="50" fillId="11" borderId="200" xfId="0" applyFont="1" applyFill="1" applyBorder="1" applyAlignment="1" applyProtection="1">
      <alignment horizontal="left" vertical="center" wrapText="1" indent="1"/>
      <protection hidden="1"/>
    </xf>
    <xf numFmtId="0" fontId="71" fillId="13" borderId="8" xfId="0" applyFont="1" applyFill="1" applyBorder="1" applyAlignment="1" applyProtection="1">
      <alignment horizontal="left" vertical="center" indent="4"/>
      <protection hidden="1"/>
    </xf>
    <xf numFmtId="0" fontId="71" fillId="13" borderId="9" xfId="0" applyFont="1" applyFill="1" applyBorder="1" applyAlignment="1" applyProtection="1">
      <alignment horizontal="left" vertical="center" indent="4"/>
      <protection hidden="1"/>
    </xf>
    <xf numFmtId="0" fontId="18" fillId="15" borderId="14" xfId="0" applyFont="1" applyFill="1" applyBorder="1" applyAlignment="1" applyProtection="1">
      <alignment horizontal="center" vertical="center" wrapText="1"/>
      <protection hidden="1"/>
    </xf>
    <xf numFmtId="0" fontId="18" fillId="15" borderId="11" xfId="0" applyFont="1" applyFill="1" applyBorder="1" applyAlignment="1" applyProtection="1">
      <alignment horizontal="center" vertical="center" wrapText="1"/>
      <protection hidden="1"/>
    </xf>
    <xf numFmtId="0" fontId="51" fillId="13" borderId="133" xfId="2" applyFont="1" applyFill="1" applyBorder="1" applyAlignment="1">
      <alignment horizontal="center" vertical="center" wrapText="1"/>
    </xf>
    <xf numFmtId="0" fontId="51" fillId="13" borderId="184" xfId="2" applyFont="1" applyFill="1" applyBorder="1" applyAlignment="1">
      <alignment horizontal="center" vertical="center" wrapText="1"/>
    </xf>
    <xf numFmtId="0" fontId="51" fillId="13" borderId="132" xfId="2" applyFont="1" applyFill="1" applyBorder="1" applyAlignment="1">
      <alignment horizontal="center" vertical="center" wrapText="1"/>
    </xf>
    <xf numFmtId="0" fontId="51" fillId="13" borderId="185" xfId="2" applyFont="1" applyFill="1" applyBorder="1" applyAlignment="1">
      <alignment horizontal="center" vertical="center" wrapText="1"/>
    </xf>
    <xf numFmtId="0" fontId="51" fillId="13" borderId="1" xfId="0" applyFont="1" applyFill="1" applyBorder="1" applyAlignment="1">
      <alignment horizontal="center" vertical="center"/>
    </xf>
    <xf numFmtId="0" fontId="51" fillId="13" borderId="2" xfId="0" applyFont="1" applyFill="1" applyBorder="1" applyAlignment="1">
      <alignment horizontal="center" vertical="center"/>
    </xf>
    <xf numFmtId="0" fontId="51" fillId="13" borderId="7" xfId="0" applyFont="1" applyFill="1" applyBorder="1" applyAlignment="1">
      <alignment horizontal="center" vertical="center"/>
    </xf>
    <xf numFmtId="0" fontId="51" fillId="13" borderId="0" xfId="0" applyFont="1" applyFill="1" applyAlignment="1">
      <alignment horizontal="center" vertical="center"/>
    </xf>
    <xf numFmtId="0" fontId="51" fillId="13" borderId="165" xfId="2" applyFont="1" applyFill="1" applyBorder="1" applyAlignment="1">
      <alignment horizontal="center" vertical="center" wrapText="1"/>
    </xf>
    <xf numFmtId="0" fontId="51" fillId="13" borderId="77" xfId="2" applyFont="1" applyFill="1" applyBorder="1" applyAlignment="1">
      <alignment horizontal="center" vertical="center" wrapText="1"/>
    </xf>
    <xf numFmtId="0" fontId="51" fillId="13" borderId="166" xfId="2" applyFont="1" applyFill="1" applyBorder="1" applyAlignment="1">
      <alignment horizontal="center" vertical="center" wrapText="1"/>
    </xf>
    <xf numFmtId="0" fontId="51" fillId="13" borderId="0" xfId="2" applyFont="1" applyFill="1" applyAlignment="1">
      <alignment horizontal="center" vertical="center" wrapText="1"/>
    </xf>
    <xf numFmtId="0" fontId="51" fillId="13" borderId="167" xfId="2" applyFont="1" applyFill="1" applyBorder="1" applyAlignment="1">
      <alignment horizontal="center" vertical="center" wrapText="1"/>
    </xf>
    <xf numFmtId="0" fontId="51" fillId="13" borderId="85" xfId="2" applyFont="1" applyFill="1" applyBorder="1" applyAlignment="1">
      <alignment horizontal="center" vertical="center" wrapText="1"/>
    </xf>
    <xf numFmtId="0" fontId="51" fillId="13" borderId="168" xfId="2" applyFont="1" applyFill="1" applyBorder="1" applyAlignment="1">
      <alignment horizontal="center" vertical="center" wrapText="1"/>
    </xf>
    <xf numFmtId="0" fontId="51" fillId="13" borderId="169" xfId="2" applyFont="1" applyFill="1" applyBorder="1" applyAlignment="1">
      <alignment horizontal="center" vertical="center" wrapText="1"/>
    </xf>
    <xf numFmtId="0" fontId="14" fillId="19" borderId="14" xfId="0" applyFont="1" applyFill="1" applyBorder="1" applyAlignment="1" applyProtection="1">
      <alignment horizontal="center" vertical="center"/>
      <protection hidden="1"/>
    </xf>
    <xf numFmtId="0" fontId="14" fillId="19" borderId="17" xfId="0" applyFont="1" applyFill="1" applyBorder="1" applyAlignment="1" applyProtection="1">
      <alignment horizontal="center" vertical="center"/>
      <protection hidden="1"/>
    </xf>
    <xf numFmtId="0" fontId="14" fillId="19" borderId="11" xfId="0" applyFont="1" applyFill="1" applyBorder="1" applyAlignment="1" applyProtection="1">
      <alignment horizontal="center" vertical="center"/>
      <protection hidden="1"/>
    </xf>
    <xf numFmtId="170" fontId="14" fillId="18" borderId="14" xfId="0" applyNumberFormat="1" applyFont="1" applyFill="1" applyBorder="1" applyAlignment="1" applyProtection="1">
      <alignment horizontal="center" vertical="center"/>
      <protection hidden="1"/>
    </xf>
    <xf numFmtId="170" fontId="14" fillId="18" borderId="17" xfId="0" applyNumberFormat="1" applyFont="1" applyFill="1" applyBorder="1" applyAlignment="1" applyProtection="1">
      <alignment horizontal="center" vertical="center"/>
      <protection hidden="1"/>
    </xf>
    <xf numFmtId="170" fontId="14" fillId="18" borderId="11" xfId="0" applyNumberFormat="1" applyFont="1" applyFill="1" applyBorder="1" applyAlignment="1" applyProtection="1">
      <alignment horizontal="center" vertical="center"/>
      <protection hidden="1"/>
    </xf>
    <xf numFmtId="0" fontId="18" fillId="15" borderId="14" xfId="0" applyFont="1" applyFill="1" applyBorder="1" applyAlignment="1" applyProtection="1">
      <alignment horizontal="center" vertical="center"/>
      <protection hidden="1"/>
    </xf>
    <xf numFmtId="0" fontId="18" fillId="15" borderId="17" xfId="0" applyFont="1" applyFill="1" applyBorder="1" applyAlignment="1" applyProtection="1">
      <alignment horizontal="center" vertical="center"/>
      <protection hidden="1"/>
    </xf>
    <xf numFmtId="0" fontId="18" fillId="15" borderId="11" xfId="0" applyFont="1" applyFill="1" applyBorder="1" applyAlignment="1" applyProtection="1">
      <alignment horizontal="center" vertical="center"/>
      <protection hidden="1"/>
    </xf>
    <xf numFmtId="0" fontId="75" fillId="13" borderId="133" xfId="6" applyFont="1" applyFill="1" applyBorder="1" applyAlignment="1">
      <alignment horizontal="center" vertical="center" wrapText="1"/>
    </xf>
    <xf numFmtId="0" fontId="75" fillId="13" borderId="77" xfId="6" applyFont="1" applyFill="1" applyBorder="1" applyAlignment="1">
      <alignment horizontal="center" vertical="center" wrapText="1"/>
    </xf>
    <xf numFmtId="0" fontId="75" fillId="13" borderId="7" xfId="6" applyFont="1" applyFill="1" applyBorder="1" applyAlignment="1">
      <alignment horizontal="center" vertical="center" wrapText="1"/>
    </xf>
    <xf numFmtId="0" fontId="75" fillId="13" borderId="0" xfId="6" applyFont="1" applyFill="1" applyAlignment="1">
      <alignment horizontal="center" vertical="center" wrapText="1"/>
    </xf>
    <xf numFmtId="0" fontId="75" fillId="13" borderId="132" xfId="6" applyFont="1" applyFill="1" applyBorder="1" applyAlignment="1">
      <alignment horizontal="center" vertical="center" wrapText="1"/>
    </xf>
    <xf numFmtId="0" fontId="75" fillId="13" borderId="85" xfId="6" applyFont="1" applyFill="1" applyBorder="1" applyAlignment="1">
      <alignment horizontal="center" vertical="center" wrapText="1"/>
    </xf>
    <xf numFmtId="0" fontId="14" fillId="6" borderId="1" xfId="0" applyFont="1" applyFill="1" applyBorder="1" applyAlignment="1" applyProtection="1">
      <alignment horizontal="center" vertical="center" wrapText="1"/>
      <protection hidden="1"/>
    </xf>
    <xf numFmtId="0" fontId="14" fillId="6" borderId="7" xfId="0" applyFont="1" applyFill="1" applyBorder="1" applyAlignment="1" applyProtection="1">
      <alignment horizontal="center" vertical="center" wrapText="1"/>
      <protection hidden="1"/>
    </xf>
    <xf numFmtId="0" fontId="14" fillId="6" borderId="8" xfId="0" applyFont="1" applyFill="1" applyBorder="1" applyAlignment="1" applyProtection="1">
      <alignment horizontal="center" vertical="center" wrapText="1"/>
      <protection hidden="1"/>
    </xf>
    <xf numFmtId="0" fontId="14" fillId="6" borderId="14" xfId="0" applyFont="1" applyFill="1" applyBorder="1" applyAlignment="1" applyProtection="1">
      <alignment horizontal="center" vertical="center" wrapText="1"/>
      <protection hidden="1"/>
    </xf>
    <xf numFmtId="0" fontId="14" fillId="6" borderId="11" xfId="0" applyFont="1" applyFill="1" applyBorder="1" applyAlignment="1" applyProtection="1">
      <alignment horizontal="center" vertical="center" wrapText="1"/>
      <protection hidden="1"/>
    </xf>
    <xf numFmtId="0" fontId="50" fillId="11" borderId="87" xfId="0" applyFont="1" applyFill="1" applyBorder="1" applyAlignment="1" applyProtection="1">
      <alignment horizontal="left" vertical="center" indent="1"/>
      <protection hidden="1"/>
    </xf>
    <xf numFmtId="0" fontId="50" fillId="11" borderId="129" xfId="0" applyFont="1" applyFill="1" applyBorder="1" applyAlignment="1" applyProtection="1">
      <alignment horizontal="left" vertical="center" indent="1"/>
      <protection hidden="1"/>
    </xf>
    <xf numFmtId="0" fontId="50" fillId="11" borderId="88" xfId="0" applyFont="1" applyFill="1" applyBorder="1" applyAlignment="1" applyProtection="1">
      <alignment horizontal="left" vertical="center" indent="1"/>
      <protection hidden="1"/>
    </xf>
    <xf numFmtId="0" fontId="62" fillId="11" borderId="87" xfId="0" applyFont="1" applyFill="1" applyBorder="1" applyAlignment="1" applyProtection="1">
      <alignment horizontal="left" vertical="center"/>
      <protection hidden="1"/>
    </xf>
    <xf numFmtId="0" fontId="62" fillId="11" borderId="88" xfId="0" applyFont="1" applyFill="1" applyBorder="1" applyAlignment="1" applyProtection="1">
      <alignment horizontal="left" vertical="center"/>
      <protection hidden="1"/>
    </xf>
    <xf numFmtId="0" fontId="50" fillId="11" borderId="130" xfId="6" applyFont="1" applyFill="1" applyBorder="1" applyAlignment="1" applyProtection="1">
      <alignment horizontal="left" vertical="center" indent="1"/>
      <protection hidden="1"/>
    </xf>
    <xf numFmtId="0" fontId="50" fillId="11" borderId="71" xfId="6" applyFont="1" applyFill="1" applyBorder="1" applyAlignment="1" applyProtection="1">
      <alignment horizontal="left" vertical="center" indent="1"/>
      <protection hidden="1"/>
    </xf>
    <xf numFmtId="0" fontId="50" fillId="11" borderId="131" xfId="6" applyFont="1" applyFill="1" applyBorder="1" applyAlignment="1" applyProtection="1">
      <alignment horizontal="left" vertical="center" indent="1"/>
      <protection hidden="1"/>
    </xf>
    <xf numFmtId="0" fontId="72" fillId="11" borderId="87" xfId="0" applyFont="1" applyFill="1" applyBorder="1" applyAlignment="1" applyProtection="1">
      <alignment horizontal="left" vertical="center"/>
      <protection hidden="1"/>
    </xf>
    <xf numFmtId="0" fontId="72" fillId="11" borderId="88" xfId="0" applyFont="1" applyFill="1" applyBorder="1" applyAlignment="1" applyProtection="1">
      <alignment horizontal="left" vertical="center"/>
      <protection hidden="1"/>
    </xf>
    <xf numFmtId="0" fontId="72" fillId="13" borderId="0" xfId="0" applyFont="1" applyFill="1" applyAlignment="1" applyProtection="1">
      <alignment horizontal="left" wrapText="1"/>
      <protection hidden="1"/>
    </xf>
    <xf numFmtId="0" fontId="72" fillId="13" borderId="9" xfId="0" applyFont="1" applyFill="1" applyBorder="1" applyAlignment="1" applyProtection="1">
      <alignment horizontal="left" vertical="top" wrapText="1"/>
      <protection hidden="1"/>
    </xf>
    <xf numFmtId="0" fontId="72" fillId="13" borderId="0" xfId="0" applyFont="1" applyFill="1" applyAlignment="1" applyProtection="1">
      <alignment horizontal="left" vertical="top" wrapText="1"/>
      <protection hidden="1"/>
    </xf>
    <xf numFmtId="0" fontId="72" fillId="13" borderId="80" xfId="0" applyFont="1" applyFill="1" applyBorder="1" applyAlignment="1" applyProtection="1">
      <alignment horizontal="left" vertical="top" wrapText="1"/>
      <protection hidden="1"/>
    </xf>
    <xf numFmtId="0" fontId="48" fillId="13" borderId="194" xfId="0" applyFont="1" applyFill="1" applyBorder="1" applyAlignment="1">
      <alignment horizontal="center" vertical="center" wrapText="1" readingOrder="1"/>
    </xf>
    <xf numFmtId="0" fontId="48" fillId="13" borderId="195" xfId="0" applyFont="1" applyFill="1" applyBorder="1" applyAlignment="1">
      <alignment horizontal="center" vertical="center" wrapText="1" readingOrder="1"/>
    </xf>
    <xf numFmtId="0" fontId="48" fillId="13" borderId="7" xfId="0" applyFont="1" applyFill="1" applyBorder="1" applyAlignment="1">
      <alignment horizontal="center" vertical="center" wrapText="1" readingOrder="1"/>
    </xf>
    <xf numFmtId="0" fontId="48" fillId="13" borderId="0" xfId="0" applyFont="1" applyFill="1" applyAlignment="1">
      <alignment horizontal="center" vertical="center" wrapText="1" readingOrder="1"/>
    </xf>
    <xf numFmtId="0" fontId="48" fillId="13" borderId="132" xfId="0" applyFont="1" applyFill="1" applyBorder="1" applyAlignment="1">
      <alignment horizontal="center" vertical="center" wrapText="1" readingOrder="1"/>
    </xf>
    <xf numFmtId="0" fontId="48" fillId="13" borderId="85" xfId="0" applyFont="1" applyFill="1" applyBorder="1" applyAlignment="1">
      <alignment horizontal="center" vertical="center" wrapText="1" readingOrder="1"/>
    </xf>
    <xf numFmtId="0" fontId="14" fillId="19" borderId="0" xfId="0" applyFont="1" applyFill="1" applyAlignment="1" applyProtection="1">
      <alignment horizontal="center" vertical="center" wrapText="1"/>
      <protection hidden="1"/>
    </xf>
    <xf numFmtId="0" fontId="14" fillId="19" borderId="9" xfId="0" applyFont="1" applyFill="1" applyBorder="1" applyAlignment="1" applyProtection="1">
      <alignment horizontal="center" vertical="center" wrapText="1"/>
      <protection hidden="1"/>
    </xf>
    <xf numFmtId="0" fontId="27" fillId="13" borderId="133" xfId="0" applyFont="1" applyFill="1" applyBorder="1" applyAlignment="1">
      <alignment horizontal="center" vertical="center" wrapText="1" readingOrder="1"/>
    </xf>
    <xf numFmtId="0" fontId="27" fillId="13" borderId="78" xfId="0" applyFont="1" applyFill="1" applyBorder="1" applyAlignment="1">
      <alignment horizontal="center" vertical="center" wrapText="1" readingOrder="1"/>
    </xf>
    <xf numFmtId="0" fontId="27" fillId="13" borderId="7" xfId="0" applyFont="1" applyFill="1" applyBorder="1" applyAlignment="1">
      <alignment horizontal="center" vertical="center" wrapText="1" readingOrder="1"/>
    </xf>
    <xf numFmtId="0" fontId="27" fillId="13" borderId="31" xfId="0" applyFont="1" applyFill="1" applyBorder="1" applyAlignment="1">
      <alignment horizontal="center" vertical="center" wrapText="1" readingOrder="1"/>
    </xf>
    <xf numFmtId="0" fontId="14" fillId="0" borderId="0" xfId="0" applyFont="1" applyAlignment="1" applyProtection="1">
      <alignment horizontal="center" vertical="center" wrapText="1"/>
      <protection hidden="1"/>
    </xf>
    <xf numFmtId="0" fontId="27" fillId="13" borderId="77" xfId="0" applyFont="1" applyFill="1" applyBorder="1" applyAlignment="1">
      <alignment horizontal="center" vertical="center" wrapText="1" readingOrder="1"/>
    </xf>
    <xf numFmtId="0" fontId="27" fillId="13" borderId="0" xfId="0" applyFont="1" applyFill="1" applyAlignment="1">
      <alignment horizontal="center" vertical="center" wrapText="1" readingOrder="1"/>
    </xf>
    <xf numFmtId="0" fontId="27" fillId="13" borderId="132" xfId="0" applyFont="1" applyFill="1" applyBorder="1" applyAlignment="1">
      <alignment horizontal="center" vertical="center" wrapText="1" readingOrder="1"/>
    </xf>
    <xf numFmtId="0" fontId="27" fillId="13" borderId="85" xfId="0" applyFont="1" applyFill="1" applyBorder="1" applyAlignment="1">
      <alignment horizontal="center" vertical="center" wrapText="1" readingOrder="1"/>
    </xf>
    <xf numFmtId="0" fontId="14" fillId="15" borderId="14" xfId="0" applyFont="1" applyFill="1" applyBorder="1" applyAlignment="1" applyProtection="1">
      <alignment horizontal="center" vertical="center" wrapText="1"/>
      <protection hidden="1"/>
    </xf>
    <xf numFmtId="0" fontId="14" fillId="15" borderId="17" xfId="0" applyFont="1" applyFill="1" applyBorder="1" applyAlignment="1" applyProtection="1">
      <alignment horizontal="center" vertical="center" wrapText="1"/>
      <protection hidden="1"/>
    </xf>
    <xf numFmtId="0" fontId="14" fillId="15" borderId="11" xfId="0" applyFont="1" applyFill="1" applyBorder="1" applyAlignment="1" applyProtection="1">
      <alignment horizontal="center" vertical="center" wrapText="1"/>
      <protection hidden="1"/>
    </xf>
    <xf numFmtId="0" fontId="48" fillId="13" borderId="134" xfId="0" applyFont="1" applyFill="1" applyBorder="1" applyAlignment="1">
      <alignment horizontal="center" vertical="center" wrapText="1" readingOrder="1"/>
    </xf>
    <xf numFmtId="0" fontId="48" fillId="13" borderId="74" xfId="0" applyFont="1" applyFill="1" applyBorder="1" applyAlignment="1">
      <alignment horizontal="center" vertical="center" wrapText="1" readingOrder="1"/>
    </xf>
    <xf numFmtId="0" fontId="48" fillId="13" borderId="133" xfId="0" applyFont="1" applyFill="1" applyBorder="1" applyAlignment="1">
      <alignment horizontal="center" vertical="center" wrapText="1" readingOrder="1"/>
    </xf>
    <xf numFmtId="0" fontId="48" fillId="13" borderId="77" xfId="0" applyFont="1" applyFill="1" applyBorder="1" applyAlignment="1">
      <alignment horizontal="center" vertical="center" wrapText="1" readingOrder="1"/>
    </xf>
    <xf numFmtId="0" fontId="27" fillId="13" borderId="135" xfId="0" applyFont="1" applyFill="1" applyBorder="1" applyAlignment="1">
      <alignment horizontal="center" vertical="center" wrapText="1" readingOrder="1"/>
    </xf>
    <xf numFmtId="0" fontId="27" fillId="13" borderId="136" xfId="0" applyFont="1" applyFill="1" applyBorder="1" applyAlignment="1">
      <alignment horizontal="center" vertical="center" wrapText="1" readingOrder="1"/>
    </xf>
    <xf numFmtId="0" fontId="27" fillId="13" borderId="137" xfId="0" applyFont="1" applyFill="1" applyBorder="1" applyAlignment="1">
      <alignment horizontal="center" vertical="center" wrapText="1" readingOrder="1"/>
    </xf>
    <xf numFmtId="0" fontId="14" fillId="15" borderId="2" xfId="0" applyFont="1" applyFill="1" applyBorder="1" applyAlignment="1" applyProtection="1">
      <alignment horizontal="center" vertical="center" wrapText="1"/>
      <protection hidden="1"/>
    </xf>
    <xf numFmtId="0" fontId="14" fillId="15" borderId="0" xfId="0" applyFont="1" applyFill="1" applyAlignment="1" applyProtection="1">
      <alignment horizontal="center" vertical="center" wrapText="1"/>
      <protection hidden="1"/>
    </xf>
    <xf numFmtId="0" fontId="14" fillId="15" borderId="9" xfId="0" applyFont="1" applyFill="1" applyBorder="1" applyAlignment="1" applyProtection="1">
      <alignment horizontal="center" vertical="center" wrapText="1"/>
      <protection hidden="1"/>
    </xf>
    <xf numFmtId="0" fontId="49" fillId="11" borderId="7" xfId="0" applyFont="1" applyFill="1" applyBorder="1" applyAlignment="1" applyProtection="1">
      <alignment horizontal="left" vertical="center" wrapText="1"/>
      <protection hidden="1"/>
    </xf>
    <xf numFmtId="0" fontId="49" fillId="11" borderId="0" xfId="0" applyFont="1" applyFill="1" applyAlignment="1" applyProtection="1">
      <alignment horizontal="left" vertical="center" wrapText="1"/>
      <protection hidden="1"/>
    </xf>
    <xf numFmtId="0" fontId="49" fillId="11" borderId="79" xfId="0" applyFont="1" applyFill="1" applyBorder="1" applyAlignment="1" applyProtection="1">
      <alignment horizontal="left" vertical="center" wrapText="1"/>
      <protection hidden="1"/>
    </xf>
    <xf numFmtId="0" fontId="27" fillId="13" borderId="140" xfId="0" applyFont="1" applyFill="1" applyBorder="1" applyAlignment="1">
      <alignment horizontal="center" vertical="center" wrapText="1" readingOrder="1"/>
    </xf>
    <xf numFmtId="0" fontId="27" fillId="13" borderId="141" xfId="0" applyFont="1" applyFill="1" applyBorder="1" applyAlignment="1">
      <alignment horizontal="center" vertical="center" wrapText="1" readingOrder="1"/>
    </xf>
    <xf numFmtId="0" fontId="49" fillId="11" borderId="80" xfId="0" applyFont="1" applyFill="1" applyBorder="1" applyAlignment="1" applyProtection="1">
      <alignment horizontal="left" vertical="center" wrapText="1"/>
      <protection hidden="1"/>
    </xf>
    <xf numFmtId="0" fontId="49" fillId="11" borderId="124" xfId="0" applyFont="1" applyFill="1" applyBorder="1" applyAlignment="1" applyProtection="1">
      <alignment horizontal="center" vertical="center" wrapText="1"/>
      <protection hidden="1"/>
    </xf>
    <xf numFmtId="0" fontId="49" fillId="11" borderId="71" xfId="0" applyFont="1" applyFill="1" applyBorder="1" applyAlignment="1" applyProtection="1">
      <alignment horizontal="center" vertical="center" wrapText="1"/>
      <protection hidden="1"/>
    </xf>
    <xf numFmtId="0" fontId="18" fillId="6" borderId="2" xfId="5" applyFont="1" applyFill="1" applyBorder="1" applyAlignment="1" applyProtection="1">
      <alignment horizontal="center" vertical="center"/>
      <protection hidden="1"/>
    </xf>
    <xf numFmtId="0" fontId="18" fillId="6" borderId="39" xfId="5" applyFont="1" applyFill="1" applyBorder="1" applyAlignment="1" applyProtection="1">
      <alignment horizontal="center" vertical="center"/>
      <protection hidden="1"/>
    </xf>
    <xf numFmtId="0" fontId="27" fillId="13" borderId="138" xfId="0" applyFont="1" applyFill="1" applyBorder="1" applyAlignment="1">
      <alignment horizontal="center" vertical="center" wrapText="1" readingOrder="1"/>
    </xf>
    <xf numFmtId="0" fontId="49" fillId="11" borderId="117" xfId="0" applyFont="1" applyFill="1" applyBorder="1" applyAlignment="1" applyProtection="1">
      <alignment horizontal="center" vertical="center" wrapText="1"/>
      <protection hidden="1"/>
    </xf>
    <xf numFmtId="0" fontId="49" fillId="11" borderId="118" xfId="0" applyFont="1" applyFill="1" applyBorder="1" applyAlignment="1" applyProtection="1">
      <alignment horizontal="center" vertical="center" wrapText="1"/>
      <protection hidden="1"/>
    </xf>
    <xf numFmtId="0" fontId="49" fillId="11" borderId="71" xfId="0" applyFont="1" applyFill="1" applyBorder="1" applyAlignment="1" applyProtection="1">
      <alignment horizontal="center" vertical="center"/>
      <protection hidden="1"/>
    </xf>
    <xf numFmtId="0" fontId="60" fillId="11" borderId="113" xfId="0" applyFont="1" applyFill="1" applyBorder="1" applyAlignment="1" applyProtection="1">
      <alignment horizontal="center" vertical="center" wrapText="1"/>
      <protection hidden="1"/>
    </xf>
    <xf numFmtId="0" fontId="60" fillId="11" borderId="80" xfId="0" applyFont="1" applyFill="1" applyBorder="1" applyAlignment="1" applyProtection="1">
      <alignment horizontal="center" vertical="center" wrapText="1"/>
      <protection hidden="1"/>
    </xf>
    <xf numFmtId="0" fontId="49" fillId="11" borderId="125" xfId="0" applyFont="1" applyFill="1" applyBorder="1" applyAlignment="1" applyProtection="1">
      <alignment horizontal="center" vertical="center" wrapText="1"/>
      <protection hidden="1"/>
    </xf>
    <xf numFmtId="0" fontId="18" fillId="21" borderId="122" xfId="5" applyFont="1" applyFill="1" applyBorder="1" applyAlignment="1" applyProtection="1">
      <alignment horizontal="center" vertical="center"/>
      <protection hidden="1"/>
    </xf>
    <xf numFmtId="0" fontId="18" fillId="21" borderId="39" xfId="5" applyFont="1" applyFill="1" applyBorder="1" applyAlignment="1" applyProtection="1">
      <alignment horizontal="center" vertical="center"/>
      <protection hidden="1"/>
    </xf>
    <xf numFmtId="0" fontId="14" fillId="6" borderId="122" xfId="0" applyFont="1" applyFill="1" applyBorder="1" applyAlignment="1" applyProtection="1">
      <alignment horizontal="center" vertical="center" wrapText="1"/>
      <protection hidden="1"/>
    </xf>
    <xf numFmtId="0" fontId="14" fillId="6" borderId="9" xfId="0" applyFont="1" applyFill="1" applyBorder="1" applyAlignment="1" applyProtection="1">
      <alignment horizontal="center" vertical="center" wrapText="1"/>
      <protection hidden="1"/>
    </xf>
    <xf numFmtId="0" fontId="14" fillId="0" borderId="9" xfId="0" applyFont="1" applyBorder="1" applyAlignment="1" applyProtection="1">
      <alignment horizontal="center" vertical="center" wrapText="1"/>
      <protection hidden="1"/>
    </xf>
    <xf numFmtId="0" fontId="49" fillId="11" borderId="119" xfId="0" applyFont="1" applyFill="1" applyBorder="1" applyAlignment="1" applyProtection="1">
      <alignment horizontal="center" vertical="center" wrapText="1"/>
      <protection hidden="1"/>
    </xf>
    <xf numFmtId="0" fontId="49" fillId="11" borderId="120" xfId="0" applyFont="1" applyFill="1" applyBorder="1" applyAlignment="1" applyProtection="1">
      <alignment horizontal="center" vertical="center" wrapText="1"/>
      <protection hidden="1"/>
    </xf>
    <xf numFmtId="0" fontId="49" fillId="11" borderId="121" xfId="0" applyFont="1" applyFill="1" applyBorder="1" applyAlignment="1" applyProtection="1">
      <alignment horizontal="center" vertical="center" wrapText="1"/>
      <protection hidden="1"/>
    </xf>
    <xf numFmtId="0" fontId="61" fillId="11" borderId="114" xfId="6" applyFont="1" applyFill="1" applyBorder="1" applyAlignment="1" applyProtection="1">
      <alignment horizontal="center" vertical="center"/>
      <protection hidden="1"/>
    </xf>
    <xf numFmtId="0" fontId="61" fillId="11" borderId="115" xfId="6" applyFont="1" applyFill="1" applyBorder="1" applyAlignment="1" applyProtection="1">
      <alignment horizontal="center" vertical="center"/>
      <protection hidden="1"/>
    </xf>
    <xf numFmtId="0" fontId="61" fillId="11" borderId="116" xfId="6" applyFont="1" applyFill="1" applyBorder="1" applyAlignment="1" applyProtection="1">
      <alignment horizontal="center" vertical="center"/>
      <protection hidden="1"/>
    </xf>
    <xf numFmtId="0" fontId="50" fillId="11" borderId="130" xfId="0" applyFont="1" applyFill="1" applyBorder="1" applyAlignment="1" applyProtection="1">
      <alignment horizontal="left" vertical="center" wrapText="1" indent="1"/>
      <protection hidden="1"/>
    </xf>
    <xf numFmtId="0" fontId="50" fillId="11" borderId="71" xfId="0" applyFont="1" applyFill="1" applyBorder="1" applyAlignment="1" applyProtection="1">
      <alignment horizontal="left" vertical="center" wrapText="1" indent="1"/>
      <protection hidden="1"/>
    </xf>
    <xf numFmtId="0" fontId="50" fillId="11" borderId="80" xfId="0" applyFont="1" applyFill="1" applyBorder="1" applyAlignment="1" applyProtection="1">
      <alignment horizontal="left" vertical="center" wrapText="1" indent="1"/>
      <protection hidden="1"/>
    </xf>
    <xf numFmtId="0" fontId="49" fillId="11" borderId="75" xfId="0" applyFont="1" applyFill="1" applyBorder="1" applyAlignment="1" applyProtection="1">
      <alignment horizontal="center" vertical="center" wrapText="1"/>
      <protection hidden="1"/>
    </xf>
    <xf numFmtId="0" fontId="49" fillId="11" borderId="72" xfId="0" applyFont="1" applyFill="1" applyBorder="1" applyAlignment="1" applyProtection="1">
      <alignment horizontal="center" vertical="center" wrapText="1"/>
      <protection hidden="1"/>
    </xf>
    <xf numFmtId="0" fontId="14" fillId="0" borderId="2"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48" fillId="13" borderId="135" xfId="0" applyFont="1" applyFill="1" applyBorder="1" applyAlignment="1">
      <alignment horizontal="center" vertical="center" wrapText="1" readingOrder="1"/>
    </xf>
    <xf numFmtId="0" fontId="48" fillId="13" borderId="76" xfId="0" applyFont="1" applyFill="1" applyBorder="1" applyAlignment="1">
      <alignment horizontal="center" vertical="center" wrapText="1" readingOrder="1"/>
    </xf>
    <xf numFmtId="0" fontId="14" fillId="0" borderId="14" xfId="0" applyFont="1" applyBorder="1" applyAlignment="1" applyProtection="1">
      <alignment horizontal="center" vertical="center" wrapText="1"/>
      <protection hidden="1"/>
    </xf>
    <xf numFmtId="0" fontId="14" fillId="0" borderId="11" xfId="0" applyFont="1" applyBorder="1" applyAlignment="1" applyProtection="1">
      <alignment horizontal="center" vertical="center" wrapText="1"/>
      <protection hidden="1"/>
    </xf>
    <xf numFmtId="167" fontId="2" fillId="34" borderId="4" xfId="2" applyNumberFormat="1" applyFont="1" applyFill="1" applyBorder="1" applyAlignment="1" applyProtection="1">
      <alignment horizontal="right" indent="1"/>
      <protection hidden="1"/>
    </xf>
    <xf numFmtId="167" fontId="2" fillId="34" borderId="6" xfId="2" applyNumberFormat="1" applyFont="1" applyFill="1" applyBorder="1" applyAlignment="1" applyProtection="1">
      <alignment horizontal="right" indent="1"/>
      <protection hidden="1"/>
    </xf>
    <xf numFmtId="167" fontId="2" fillId="32" borderId="8" xfId="2" applyNumberFormat="1" applyFont="1" applyFill="1" applyBorder="1" applyAlignment="1" applyProtection="1">
      <alignment horizontal="right" vertical="center" wrapText="1"/>
      <protection hidden="1"/>
    </xf>
    <xf numFmtId="167" fontId="2" fillId="32" borderId="9" xfId="2" applyNumberFormat="1" applyFont="1" applyFill="1" applyBorder="1" applyAlignment="1" applyProtection="1">
      <alignment horizontal="right" vertical="center" wrapText="1"/>
      <protection hidden="1"/>
    </xf>
    <xf numFmtId="0" fontId="4" fillId="11" borderId="4" xfId="2" applyFont="1" applyFill="1" applyBorder="1" applyAlignment="1" applyProtection="1">
      <alignment horizontal="left" vertical="center" wrapText="1"/>
      <protection hidden="1"/>
    </xf>
    <xf numFmtId="0" fontId="4" fillId="11" borderId="5" xfId="2" applyFont="1" applyFill="1" applyBorder="1" applyAlignment="1" applyProtection="1">
      <alignment horizontal="left" vertical="center" wrapText="1"/>
      <protection hidden="1"/>
    </xf>
    <xf numFmtId="0" fontId="38" fillId="10" borderId="4" xfId="2" applyFont="1" applyFill="1" applyBorder="1" applyAlignment="1" applyProtection="1">
      <alignment horizontal="left" wrapText="1"/>
      <protection hidden="1"/>
    </xf>
    <xf numFmtId="0" fontId="38" fillId="10" borderId="5" xfId="2" applyFont="1" applyFill="1" applyBorder="1" applyAlignment="1" applyProtection="1">
      <alignment horizontal="left" wrapText="1"/>
      <protection hidden="1"/>
    </xf>
    <xf numFmtId="167" fontId="2" fillId="8" borderId="4" xfId="2" applyNumberFormat="1" applyFont="1" applyFill="1" applyBorder="1" applyAlignment="1" applyProtection="1">
      <alignment horizontal="right" indent="1"/>
      <protection hidden="1"/>
    </xf>
    <xf numFmtId="167" fontId="2" fillId="8" borderId="6" xfId="2" applyNumberFormat="1" applyFont="1" applyFill="1" applyBorder="1" applyAlignment="1" applyProtection="1">
      <alignment horizontal="right" indent="1"/>
      <protection hidden="1"/>
    </xf>
    <xf numFmtId="0" fontId="41" fillId="5" borderId="4" xfId="2" applyFont="1" applyFill="1" applyBorder="1" applyAlignment="1" applyProtection="1">
      <alignment horizontal="left"/>
      <protection hidden="1"/>
    </xf>
    <xf numFmtId="0" fontId="41" fillId="5" borderId="6" xfId="2" applyFont="1" applyFill="1" applyBorder="1" applyAlignment="1" applyProtection="1">
      <alignment horizontal="left"/>
      <protection hidden="1"/>
    </xf>
    <xf numFmtId="0" fontId="9" fillId="32" borderId="4" xfId="2" applyFont="1" applyFill="1" applyBorder="1" applyAlignment="1" applyProtection="1">
      <alignment horizontal="left"/>
      <protection hidden="1"/>
    </xf>
    <xf numFmtId="0" fontId="9" fillId="32" borderId="5" xfId="2" applyFont="1" applyFill="1" applyBorder="1" applyAlignment="1" applyProtection="1">
      <alignment horizontal="left"/>
      <protection hidden="1"/>
    </xf>
    <xf numFmtId="0" fontId="9" fillId="32" borderId="6" xfId="2" applyFont="1" applyFill="1" applyBorder="1" applyAlignment="1" applyProtection="1">
      <alignment horizontal="left"/>
      <protection hidden="1"/>
    </xf>
    <xf numFmtId="0" fontId="43" fillId="33" borderId="4" xfId="2" applyFont="1" applyFill="1" applyBorder="1" applyAlignment="1" applyProtection="1">
      <alignment horizontal="left" vertical="center" wrapText="1"/>
      <protection hidden="1"/>
    </xf>
    <xf numFmtId="0" fontId="43" fillId="33" borderId="5" xfId="2" applyFont="1" applyFill="1" applyBorder="1" applyAlignment="1" applyProtection="1">
      <alignment horizontal="left" vertical="center" wrapText="1"/>
      <protection hidden="1"/>
    </xf>
    <xf numFmtId="0" fontId="43" fillId="33" borderId="6" xfId="2" applyFont="1" applyFill="1" applyBorder="1" applyAlignment="1" applyProtection="1">
      <alignment horizontal="left" vertical="center" wrapText="1"/>
      <protection hidden="1"/>
    </xf>
    <xf numFmtId="0" fontId="27" fillId="14" borderId="31" xfId="0" applyFont="1" applyFill="1" applyBorder="1" applyAlignment="1">
      <alignment horizontal="center" vertical="center" wrapText="1" readingOrder="1"/>
    </xf>
    <xf numFmtId="0" fontId="18" fillId="17" borderId="41" xfId="0" applyFont="1" applyFill="1" applyBorder="1" applyAlignment="1" applyProtection="1">
      <alignment horizontal="center" vertical="center" wrapText="1"/>
      <protection hidden="1"/>
    </xf>
    <xf numFmtId="0" fontId="18" fillId="17" borderId="33" xfId="0" applyFont="1" applyFill="1" applyBorder="1" applyAlignment="1" applyProtection="1">
      <alignment horizontal="center" vertical="center" wrapText="1"/>
      <protection hidden="1"/>
    </xf>
    <xf numFmtId="0" fontId="18" fillId="17" borderId="40" xfId="0" applyFont="1" applyFill="1" applyBorder="1" applyAlignment="1" applyProtection="1">
      <alignment horizontal="center" vertical="center" wrapText="1"/>
      <protection hidden="1"/>
    </xf>
    <xf numFmtId="0" fontId="18" fillId="17" borderId="33" xfId="0" applyFont="1" applyFill="1" applyBorder="1" applyAlignment="1" applyProtection="1">
      <alignment horizontal="left" vertical="center" wrapText="1" indent="1"/>
      <protection hidden="1"/>
    </xf>
    <xf numFmtId="0" fontId="18" fillId="17" borderId="26" xfId="0" applyFont="1" applyFill="1" applyBorder="1" applyAlignment="1" applyProtection="1">
      <alignment horizontal="left" vertical="center" wrapText="1" indent="1"/>
      <protection hidden="1"/>
    </xf>
    <xf numFmtId="0" fontId="28" fillId="13" borderId="0" xfId="0" applyFont="1" applyFill="1" applyAlignment="1">
      <alignment horizontal="center" vertical="center" wrapText="1" readingOrder="1"/>
    </xf>
    <xf numFmtId="0" fontId="17" fillId="11" borderId="34" xfId="0" applyFont="1" applyFill="1" applyBorder="1" applyAlignment="1" applyProtection="1">
      <alignment horizontal="left" vertical="center" wrapText="1" indent="1"/>
      <protection hidden="1"/>
    </xf>
    <xf numFmtId="0" fontId="17" fillId="11" borderId="32" xfId="0" applyFont="1" applyFill="1" applyBorder="1" applyAlignment="1" applyProtection="1">
      <alignment horizontal="left" vertical="center" wrapText="1" indent="1"/>
      <protection hidden="1"/>
    </xf>
    <xf numFmtId="0" fontId="17" fillId="11" borderId="35" xfId="0" applyFont="1" applyFill="1" applyBorder="1" applyAlignment="1" applyProtection="1">
      <alignment horizontal="left" vertical="center" wrapText="1" indent="1"/>
      <protection hidden="1"/>
    </xf>
    <xf numFmtId="0" fontId="18" fillId="17" borderId="40" xfId="0" applyFont="1" applyFill="1" applyBorder="1" applyAlignment="1" applyProtection="1">
      <alignment horizontal="left" vertical="center" wrapText="1" indent="1"/>
      <protection hidden="1"/>
    </xf>
    <xf numFmtId="0" fontId="18" fillId="17" borderId="41" xfId="0" applyFont="1" applyFill="1" applyBorder="1" applyAlignment="1" applyProtection="1">
      <alignment horizontal="left" vertical="center" indent="1"/>
      <protection hidden="1"/>
    </xf>
    <xf numFmtId="0" fontId="18" fillId="17" borderId="40" xfId="0" applyFont="1" applyFill="1" applyBorder="1" applyAlignment="1" applyProtection="1">
      <alignment horizontal="left" vertical="center" indent="1"/>
      <protection hidden="1"/>
    </xf>
    <xf numFmtId="0" fontId="18" fillId="17" borderId="26" xfId="0" applyFont="1" applyFill="1" applyBorder="1" applyAlignment="1" applyProtection="1">
      <alignment horizontal="center" vertical="center" wrapText="1"/>
      <protection hidden="1"/>
    </xf>
    <xf numFmtId="0" fontId="18" fillId="17" borderId="37" xfId="0" applyFont="1" applyFill="1" applyBorder="1" applyAlignment="1" applyProtection="1">
      <alignment horizontal="left" vertical="center" wrapText="1" indent="1"/>
      <protection hidden="1"/>
    </xf>
    <xf numFmtId="0" fontId="58" fillId="11" borderId="81" xfId="0" applyFont="1" applyFill="1" applyBorder="1" applyAlignment="1" applyProtection="1">
      <alignment horizontal="center" vertical="center"/>
      <protection hidden="1"/>
    </xf>
    <xf numFmtId="0" fontId="58" fillId="11" borderId="82" xfId="0" applyFont="1" applyFill="1" applyBorder="1" applyAlignment="1" applyProtection="1">
      <alignment horizontal="center" vertical="center"/>
      <protection hidden="1"/>
    </xf>
    <xf numFmtId="0" fontId="31" fillId="11" borderId="39" xfId="0" applyFont="1" applyFill="1" applyBorder="1" applyAlignment="1" applyProtection="1">
      <alignment horizontal="left" vertical="center" indent="1"/>
      <protection hidden="1"/>
    </xf>
    <xf numFmtId="0" fontId="31" fillId="11" borderId="38" xfId="0" applyFont="1" applyFill="1" applyBorder="1" applyAlignment="1" applyProtection="1">
      <alignment horizontal="left" vertical="center" indent="1"/>
      <protection hidden="1"/>
    </xf>
    <xf numFmtId="0" fontId="18" fillId="17" borderId="33" xfId="0" applyFont="1" applyFill="1" applyBorder="1" applyAlignment="1" applyProtection="1">
      <alignment horizontal="left" vertical="center" indent="1"/>
      <protection hidden="1"/>
    </xf>
    <xf numFmtId="0" fontId="27" fillId="13" borderId="122" xfId="0" applyFont="1" applyFill="1" applyBorder="1" applyAlignment="1">
      <alignment horizontal="center" vertical="center" wrapText="1" readingOrder="1"/>
    </xf>
    <xf numFmtId="0" fontId="17" fillId="11" borderId="44" xfId="0" applyFont="1" applyFill="1" applyBorder="1" applyAlignment="1" applyProtection="1">
      <alignment horizontal="left" vertical="center" indent="1"/>
      <protection hidden="1"/>
    </xf>
    <xf numFmtId="0" fontId="17" fillId="11" borderId="46" xfId="0" applyFont="1" applyFill="1" applyBorder="1" applyAlignment="1" applyProtection="1">
      <alignment horizontal="left" vertical="center" indent="1"/>
      <protection hidden="1"/>
    </xf>
    <xf numFmtId="0" fontId="17" fillId="11" borderId="45" xfId="0" applyFont="1" applyFill="1" applyBorder="1" applyAlignment="1" applyProtection="1">
      <alignment horizontal="left" vertical="center" wrapText="1" indent="1"/>
      <protection hidden="1"/>
    </xf>
    <xf numFmtId="0" fontId="17" fillId="11" borderId="36" xfId="0" applyFont="1" applyFill="1" applyBorder="1" applyAlignment="1" applyProtection="1">
      <alignment horizontal="left" vertical="center" wrapText="1" indent="1"/>
      <protection hidden="1"/>
    </xf>
    <xf numFmtId="0" fontId="17" fillId="11" borderId="31" xfId="0" applyFont="1" applyFill="1" applyBorder="1" applyAlignment="1" applyProtection="1">
      <alignment horizontal="left" vertical="center" wrapText="1" indent="1"/>
      <protection hidden="1"/>
    </xf>
    <xf numFmtId="0" fontId="18" fillId="17" borderId="37" xfId="0" applyFont="1" applyFill="1" applyBorder="1" applyAlignment="1" applyProtection="1">
      <alignment horizontal="left" vertical="center" indent="1"/>
      <protection hidden="1"/>
    </xf>
    <xf numFmtId="0" fontId="36" fillId="11" borderId="44" xfId="6" applyFont="1" applyFill="1" applyBorder="1" applyAlignment="1" applyProtection="1">
      <alignment horizontal="left" vertical="center" indent="1"/>
      <protection hidden="1"/>
    </xf>
    <xf numFmtId="0" fontId="36" fillId="11" borderId="39" xfId="6" applyFont="1" applyFill="1" applyBorder="1" applyAlignment="1" applyProtection="1">
      <alignment horizontal="left" vertical="center" indent="1"/>
      <protection hidden="1"/>
    </xf>
    <xf numFmtId="0" fontId="27" fillId="11" borderId="73" xfId="0" applyFont="1" applyFill="1" applyBorder="1" applyAlignment="1">
      <alignment horizontal="center" vertical="center" wrapText="1" readingOrder="1"/>
    </xf>
    <xf numFmtId="0" fontId="27" fillId="11" borderId="31" xfId="0" applyFont="1" applyFill="1" applyBorder="1" applyAlignment="1">
      <alignment horizontal="center" vertical="center" wrapText="1" readingOrder="1"/>
    </xf>
    <xf numFmtId="0" fontId="27" fillId="11" borderId="38" xfId="0" applyFont="1" applyFill="1" applyBorder="1" applyAlignment="1">
      <alignment horizontal="center" vertical="center" wrapText="1" readingOrder="1"/>
    </xf>
    <xf numFmtId="0" fontId="18" fillId="17" borderId="37" xfId="0" applyFont="1" applyFill="1" applyBorder="1" applyAlignment="1" applyProtection="1">
      <alignment horizontal="center" vertical="center" wrapText="1"/>
      <protection hidden="1"/>
    </xf>
    <xf numFmtId="0" fontId="27" fillId="13" borderId="73" xfId="0" applyFont="1" applyFill="1" applyBorder="1" applyAlignment="1">
      <alignment horizontal="center" vertical="center" wrapText="1" readingOrder="1"/>
    </xf>
    <xf numFmtId="0" fontId="18" fillId="17" borderId="26" xfId="0" applyFont="1" applyFill="1" applyBorder="1" applyAlignment="1" applyProtection="1">
      <alignment horizontal="left" vertical="center" indent="1"/>
      <protection hidden="1"/>
    </xf>
    <xf numFmtId="0" fontId="17" fillId="11" borderId="60" xfId="0" applyFont="1" applyFill="1" applyBorder="1" applyAlignment="1" applyProtection="1">
      <alignment horizontal="left" vertical="center" wrapText="1" indent="1"/>
      <protection hidden="1"/>
    </xf>
    <xf numFmtId="0" fontId="17" fillId="11" borderId="49" xfId="0" applyFont="1" applyFill="1" applyBorder="1" applyAlignment="1" applyProtection="1">
      <alignment horizontal="left" vertical="center" wrapText="1" indent="1"/>
      <protection hidden="1"/>
    </xf>
    <xf numFmtId="0" fontId="54" fillId="10" borderId="17" xfId="0" applyFont="1" applyFill="1" applyBorder="1" applyAlignment="1">
      <alignment horizontal="center" vertical="center" wrapText="1"/>
    </xf>
    <xf numFmtId="0" fontId="54" fillId="10" borderId="11" xfId="0" applyFont="1" applyFill="1" applyBorder="1" applyAlignment="1">
      <alignment horizontal="center" vertical="center" wrapText="1"/>
    </xf>
    <xf numFmtId="0" fontId="51" fillId="10" borderId="148" xfId="0" applyFont="1" applyFill="1" applyBorder="1" applyAlignment="1">
      <alignment horizontal="center" vertical="center" wrapText="1"/>
    </xf>
    <xf numFmtId="0" fontId="51" fillId="10" borderId="79" xfId="0" applyFont="1" applyFill="1" applyBorder="1" applyAlignment="1">
      <alignment horizontal="center" vertical="center" wrapText="1"/>
    </xf>
    <xf numFmtId="0" fontId="51" fillId="10" borderId="7" xfId="0" applyFont="1" applyFill="1" applyBorder="1" applyAlignment="1">
      <alignment horizontal="center" vertical="center" wrapText="1"/>
    </xf>
    <xf numFmtId="0" fontId="51" fillId="10" borderId="80" xfId="0" applyFont="1" applyFill="1" applyBorder="1" applyAlignment="1">
      <alignment horizontal="center" vertical="center" wrapText="1"/>
    </xf>
    <xf numFmtId="0" fontId="51" fillId="10" borderId="145" xfId="0" applyFont="1" applyFill="1" applyBorder="1" applyAlignment="1">
      <alignment horizontal="center" vertical="center" wrapText="1"/>
    </xf>
    <xf numFmtId="0" fontId="51" fillId="10" borderId="146" xfId="0" applyFont="1" applyFill="1" applyBorder="1" applyAlignment="1">
      <alignment horizontal="center" vertical="center" wrapText="1"/>
    </xf>
    <xf numFmtId="0" fontId="51" fillId="10" borderId="81" xfId="0" applyFont="1" applyFill="1" applyBorder="1" applyAlignment="1">
      <alignment horizontal="center" vertical="center" wrapText="1"/>
    </xf>
    <xf numFmtId="0" fontId="51" fillId="10" borderId="82" xfId="0" applyFont="1" applyFill="1" applyBorder="1" applyAlignment="1">
      <alignment horizontal="center" vertical="center" wrapText="1"/>
    </xf>
    <xf numFmtId="0" fontId="56" fillId="9" borderId="29" xfId="0" applyFont="1" applyFill="1" applyBorder="1" applyAlignment="1">
      <alignment horizontal="center" vertical="center"/>
    </xf>
    <xf numFmtId="0" fontId="56" fillId="9" borderId="33" xfId="0" applyFont="1" applyFill="1" applyBorder="1" applyAlignment="1">
      <alignment horizontal="center" vertical="center"/>
    </xf>
    <xf numFmtId="0" fontId="65" fillId="2" borderId="53" xfId="2" applyFont="1" applyFill="1" applyBorder="1" applyAlignment="1">
      <alignment horizontal="center" vertical="center" wrapText="1"/>
    </xf>
    <xf numFmtId="0" fontId="65" fillId="2" borderId="54" xfId="2" applyFont="1" applyFill="1" applyBorder="1" applyAlignment="1">
      <alignment horizontal="center" vertical="center" wrapText="1"/>
    </xf>
    <xf numFmtId="0" fontId="65" fillId="2" borderId="175" xfId="2" applyFont="1" applyFill="1" applyBorder="1" applyAlignment="1">
      <alignment horizontal="center" vertical="center" wrapText="1"/>
    </xf>
    <xf numFmtId="0" fontId="65" fillId="2" borderId="193" xfId="2" applyFont="1" applyFill="1" applyBorder="1" applyAlignment="1">
      <alignment horizontal="center" vertical="center" wrapText="1"/>
    </xf>
    <xf numFmtId="0" fontId="51" fillId="10" borderId="1" xfId="0" applyFont="1" applyFill="1" applyBorder="1" applyAlignment="1">
      <alignment horizontal="center" vertical="center" wrapText="1"/>
    </xf>
    <xf numFmtId="0" fontId="51" fillId="10" borderId="2" xfId="0" applyFont="1" applyFill="1" applyBorder="1" applyAlignment="1">
      <alignment horizontal="center" vertical="center" wrapText="1"/>
    </xf>
    <xf numFmtId="0" fontId="51" fillId="10" borderId="0" xfId="0" applyFont="1" applyFill="1" applyAlignment="1">
      <alignment horizontal="center" vertical="center" wrapText="1"/>
    </xf>
    <xf numFmtId="0" fontId="51" fillId="10" borderId="164" xfId="0" applyFont="1" applyFill="1" applyBorder="1" applyAlignment="1">
      <alignment horizontal="center" vertical="center" wrapText="1"/>
    </xf>
    <xf numFmtId="0" fontId="54" fillId="10" borderId="14" xfId="0" applyFont="1" applyFill="1" applyBorder="1" applyAlignment="1">
      <alignment horizontal="center" vertical="center" wrapText="1"/>
    </xf>
    <xf numFmtId="0" fontId="51" fillId="10" borderId="4" xfId="2" applyFont="1" applyFill="1" applyBorder="1" applyAlignment="1">
      <alignment horizontal="center" vertical="center" wrapText="1"/>
    </xf>
    <xf numFmtId="0" fontId="51" fillId="10" borderId="6" xfId="2" applyFont="1" applyFill="1" applyBorder="1" applyAlignment="1">
      <alignment horizontal="center" vertical="center" wrapText="1"/>
    </xf>
    <xf numFmtId="0" fontId="51" fillId="2" borderId="1" xfId="0" applyFont="1" applyFill="1" applyBorder="1" applyAlignment="1">
      <alignment horizontal="center" vertical="center" wrapText="1"/>
    </xf>
    <xf numFmtId="0" fontId="51" fillId="2" borderId="3" xfId="0" applyFont="1" applyFill="1" applyBorder="1" applyAlignment="1">
      <alignment horizontal="center" vertical="center" wrapText="1"/>
    </xf>
    <xf numFmtId="0" fontId="51" fillId="2" borderId="7" xfId="0" applyFont="1" applyFill="1" applyBorder="1" applyAlignment="1">
      <alignment horizontal="center" vertical="center" wrapText="1"/>
    </xf>
    <xf numFmtId="0" fontId="51" fillId="2" borderId="80" xfId="0" applyFont="1" applyFill="1" applyBorder="1" applyAlignment="1">
      <alignment horizontal="center" vertical="center" wrapText="1"/>
    </xf>
    <xf numFmtId="0" fontId="51" fillId="2" borderId="8" xfId="0" applyFont="1" applyFill="1" applyBorder="1" applyAlignment="1">
      <alignment horizontal="center" vertical="center" wrapText="1"/>
    </xf>
    <xf numFmtId="0" fontId="51" fillId="2" borderId="10" xfId="0" applyFont="1" applyFill="1" applyBorder="1" applyAlignment="1">
      <alignment horizontal="center" vertical="center" wrapText="1"/>
    </xf>
    <xf numFmtId="0" fontId="51" fillId="2" borderId="148" xfId="2" applyFont="1" applyFill="1" applyBorder="1" applyAlignment="1">
      <alignment horizontal="center" vertical="center" wrapText="1"/>
    </xf>
    <xf numFmtId="0" fontId="51" fillId="2" borderId="79" xfId="2" applyFont="1" applyFill="1" applyBorder="1" applyAlignment="1">
      <alignment horizontal="center" vertical="center" wrapText="1"/>
    </xf>
    <xf numFmtId="0" fontId="51" fillId="2" borderId="145" xfId="2" applyFont="1" applyFill="1" applyBorder="1" applyAlignment="1">
      <alignment horizontal="center" vertical="center" wrapText="1"/>
    </xf>
    <xf numFmtId="0" fontId="51" fillId="2" borderId="146" xfId="2" applyFont="1" applyFill="1" applyBorder="1" applyAlignment="1">
      <alignment horizontal="center" vertical="center" wrapText="1"/>
    </xf>
    <xf numFmtId="0" fontId="51" fillId="2" borderId="81" xfId="2" applyFont="1" applyFill="1" applyBorder="1" applyAlignment="1">
      <alignment horizontal="center" vertical="center" wrapText="1"/>
    </xf>
    <xf numFmtId="0" fontId="51" fillId="2" borderId="82" xfId="2" applyFont="1" applyFill="1" applyBorder="1" applyAlignment="1">
      <alignment horizontal="center" vertical="center" wrapText="1"/>
    </xf>
    <xf numFmtId="0" fontId="51" fillId="2" borderId="8" xfId="2" applyFont="1" applyFill="1" applyBorder="1" applyAlignment="1">
      <alignment horizontal="center" vertical="center" wrapText="1"/>
    </xf>
    <xf numFmtId="0" fontId="51" fillId="2" borderId="10" xfId="2" applyFont="1" applyFill="1" applyBorder="1" applyAlignment="1">
      <alignment horizontal="center" vertical="center" wrapText="1"/>
    </xf>
    <xf numFmtId="0" fontId="8" fillId="9" borderId="30" xfId="0" applyFont="1" applyFill="1" applyBorder="1" applyAlignment="1" applyProtection="1">
      <alignment horizontal="center" vertical="center"/>
      <protection hidden="1"/>
    </xf>
    <xf numFmtId="0" fontId="8" fillId="9" borderId="31" xfId="0" applyFont="1" applyFill="1" applyBorder="1" applyAlignment="1" applyProtection="1">
      <alignment horizontal="center" vertical="center"/>
      <protection hidden="1"/>
    </xf>
    <xf numFmtId="0" fontId="51" fillId="2" borderId="7" xfId="2" applyFont="1" applyFill="1" applyBorder="1" applyAlignment="1">
      <alignment horizontal="center" vertical="center" wrapText="1"/>
    </xf>
    <xf numFmtId="0" fontId="51" fillId="2" borderId="80" xfId="2" applyFont="1" applyFill="1" applyBorder="1" applyAlignment="1">
      <alignment horizontal="center" vertical="center" wrapText="1"/>
    </xf>
    <xf numFmtId="0" fontId="7" fillId="9" borderId="1" xfId="0" applyFont="1" applyFill="1" applyBorder="1" applyAlignment="1" applyProtection="1">
      <alignment horizontal="center" vertical="center" wrapText="1"/>
      <protection hidden="1"/>
    </xf>
    <xf numFmtId="0" fontId="7" fillId="9" borderId="2" xfId="0" applyFont="1" applyFill="1" applyBorder="1" applyAlignment="1" applyProtection="1">
      <alignment horizontal="center" vertical="center" wrapText="1"/>
      <protection hidden="1"/>
    </xf>
    <xf numFmtId="0" fontId="7" fillId="9" borderId="8" xfId="0" applyFont="1" applyFill="1" applyBorder="1" applyAlignment="1" applyProtection="1">
      <alignment horizontal="center" vertical="center" wrapText="1"/>
      <protection hidden="1"/>
    </xf>
    <xf numFmtId="0" fontId="7" fillId="9" borderId="9" xfId="0" applyFont="1" applyFill="1" applyBorder="1" applyAlignment="1" applyProtection="1">
      <alignment horizontal="center" vertical="center" wrapText="1"/>
      <protection hidden="1"/>
    </xf>
    <xf numFmtId="0" fontId="66" fillId="2" borderId="14" xfId="0" applyFont="1" applyFill="1" applyBorder="1" applyAlignment="1">
      <alignment horizontal="center" vertical="center" wrapText="1"/>
    </xf>
    <xf numFmtId="0" fontId="66" fillId="2" borderId="17" xfId="0" applyFont="1" applyFill="1" applyBorder="1" applyAlignment="1">
      <alignment horizontal="center" vertical="center" wrapText="1"/>
    </xf>
    <xf numFmtId="0" fontId="66" fillId="2" borderId="7" xfId="0" applyFont="1" applyFill="1" applyBorder="1" applyAlignment="1">
      <alignment horizontal="center" vertical="center" wrapText="1"/>
    </xf>
    <xf numFmtId="0" fontId="66" fillId="2" borderId="11" xfId="0" applyFont="1" applyFill="1" applyBorder="1" applyAlignment="1">
      <alignment horizontal="center" vertical="center" wrapText="1"/>
    </xf>
    <xf numFmtId="0" fontId="51" fillId="2" borderId="179" xfId="2" applyFont="1" applyFill="1" applyBorder="1" applyAlignment="1">
      <alignment horizontal="center" vertical="center" wrapText="1"/>
    </xf>
    <xf numFmtId="0" fontId="51" fillId="2" borderId="182" xfId="2" applyFont="1" applyFill="1" applyBorder="1" applyAlignment="1">
      <alignment horizontal="center" vertical="center" wrapText="1"/>
    </xf>
    <xf numFmtId="0" fontId="51" fillId="2" borderId="183" xfId="2" applyFont="1" applyFill="1" applyBorder="1" applyAlignment="1">
      <alignment horizontal="center" vertical="center" wrapText="1"/>
    </xf>
    <xf numFmtId="0" fontId="7" fillId="2" borderId="53" xfId="2" applyFont="1" applyFill="1" applyBorder="1" applyAlignment="1">
      <alignment horizontal="center" vertical="center" wrapText="1"/>
    </xf>
    <xf numFmtId="0" fontId="7" fillId="2" borderId="54" xfId="2" applyFont="1" applyFill="1" applyBorder="1" applyAlignment="1">
      <alignment horizontal="center" vertical="center" wrapText="1"/>
    </xf>
    <xf numFmtId="0" fontId="7" fillId="2" borderId="175" xfId="2" applyFont="1" applyFill="1" applyBorder="1" applyAlignment="1">
      <alignment horizontal="center" vertical="center" wrapText="1"/>
    </xf>
    <xf numFmtId="0" fontId="7" fillId="2" borderId="193" xfId="2" applyFont="1" applyFill="1" applyBorder="1" applyAlignment="1">
      <alignment horizontal="center" vertical="center" wrapText="1"/>
    </xf>
    <xf numFmtId="0" fontId="7" fillId="2" borderId="55" xfId="2" applyFont="1" applyFill="1" applyBorder="1" applyAlignment="1">
      <alignment horizontal="center" vertical="center" wrapText="1"/>
    </xf>
    <xf numFmtId="0" fontId="51" fillId="2" borderId="192" xfId="2" applyFont="1" applyFill="1" applyBorder="1" applyAlignment="1">
      <alignment horizontal="center" vertical="center" wrapText="1"/>
    </xf>
    <xf numFmtId="0" fontId="3" fillId="7" borderId="1" xfId="2" applyFill="1" applyBorder="1" applyAlignment="1">
      <alignment horizontal="left" vertical="center" wrapText="1"/>
    </xf>
    <xf numFmtId="0" fontId="3" fillId="7" borderId="2" xfId="2" applyFill="1" applyBorder="1" applyAlignment="1">
      <alignment horizontal="left" vertical="center" wrapText="1"/>
    </xf>
    <xf numFmtId="0" fontId="3" fillId="7" borderId="3" xfId="2" applyFill="1" applyBorder="1" applyAlignment="1">
      <alignment horizontal="left" vertical="center" wrapText="1"/>
    </xf>
    <xf numFmtId="0" fontId="3" fillId="7" borderId="7" xfId="2" applyFill="1" applyBorder="1" applyAlignment="1">
      <alignment horizontal="left" vertical="center" wrapText="1"/>
    </xf>
    <xf numFmtId="0" fontId="3" fillId="7" borderId="0" xfId="2" applyFill="1" applyAlignment="1">
      <alignment horizontal="left" vertical="center" wrapText="1"/>
    </xf>
    <xf numFmtId="0" fontId="3" fillId="7" borderId="80" xfId="2" applyFill="1" applyBorder="1" applyAlignment="1">
      <alignment horizontal="left" vertical="center" wrapText="1"/>
    </xf>
    <xf numFmtId="0" fontId="6" fillId="7" borderId="8" xfId="5" applyFill="1" applyBorder="1" applyAlignment="1">
      <alignment horizontal="left"/>
    </xf>
    <xf numFmtId="0" fontId="6" fillId="7" borderId="9" xfId="5" applyFill="1" applyBorder="1" applyAlignment="1">
      <alignment horizontal="left"/>
    </xf>
    <xf numFmtId="0" fontId="6" fillId="7" borderId="10" xfId="5" applyFill="1" applyBorder="1" applyAlignment="1">
      <alignment horizontal="left"/>
    </xf>
    <xf numFmtId="0" fontId="55" fillId="10" borderId="1" xfId="0" applyFont="1" applyFill="1" applyBorder="1" applyAlignment="1">
      <alignment horizontal="center" vertical="center" wrapText="1"/>
    </xf>
    <xf numFmtId="0" fontId="55" fillId="10" borderId="3" xfId="0" applyFont="1" applyFill="1" applyBorder="1" applyAlignment="1">
      <alignment horizontal="center" vertical="center" wrapText="1"/>
    </xf>
    <xf numFmtId="0" fontId="55" fillId="10" borderId="7" xfId="0" applyFont="1" applyFill="1" applyBorder="1" applyAlignment="1">
      <alignment horizontal="center" vertical="center" wrapText="1"/>
    </xf>
    <xf numFmtId="0" fontId="55" fillId="10" borderId="80" xfId="0" applyFont="1" applyFill="1" applyBorder="1" applyAlignment="1">
      <alignment horizontal="center" vertical="center" wrapText="1"/>
    </xf>
    <xf numFmtId="0" fontId="51" fillId="10" borderId="142" xfId="0" applyFont="1" applyFill="1" applyBorder="1" applyAlignment="1">
      <alignment horizontal="center" vertical="center" wrapText="1"/>
    </xf>
    <xf numFmtId="0" fontId="51" fillId="10" borderId="143" xfId="0" applyFont="1" applyFill="1" applyBorder="1" applyAlignment="1">
      <alignment horizontal="center" vertical="center" wrapText="1"/>
    </xf>
    <xf numFmtId="0" fontId="53" fillId="10" borderId="1" xfId="0" applyFont="1" applyFill="1" applyBorder="1" applyAlignment="1">
      <alignment horizontal="center" vertical="center" wrapText="1"/>
    </xf>
    <xf numFmtId="0" fontId="53" fillId="10" borderId="7" xfId="0" applyFont="1" applyFill="1" applyBorder="1" applyAlignment="1">
      <alignment horizontal="center" vertical="center" wrapText="1"/>
    </xf>
    <xf numFmtId="0" fontId="53" fillId="10" borderId="8" xfId="0" applyFont="1" applyFill="1" applyBorder="1" applyAlignment="1">
      <alignment horizontal="center" vertical="center" wrapText="1"/>
    </xf>
    <xf numFmtId="0" fontId="54" fillId="10" borderId="7" xfId="0" applyFont="1" applyFill="1" applyBorder="1" applyAlignment="1">
      <alignment horizontal="center" vertical="center"/>
    </xf>
    <xf numFmtId="0" fontId="54" fillId="10" borderId="8" xfId="0" applyFont="1" applyFill="1" applyBorder="1" applyAlignment="1">
      <alignment horizontal="center" vertical="center"/>
    </xf>
    <xf numFmtId="0" fontId="55" fillId="10" borderId="8" xfId="0" applyFont="1" applyFill="1" applyBorder="1" applyAlignment="1">
      <alignment horizontal="center" vertical="center" wrapText="1"/>
    </xf>
    <xf numFmtId="0" fontId="55" fillId="10" borderId="10" xfId="0" applyFont="1" applyFill="1" applyBorder="1" applyAlignment="1">
      <alignment horizontal="center" vertical="center" wrapText="1"/>
    </xf>
    <xf numFmtId="0" fontId="55" fillId="10" borderId="4" xfId="0" applyFont="1" applyFill="1" applyBorder="1" applyAlignment="1">
      <alignment horizontal="center" vertical="center" wrapText="1"/>
    </xf>
    <xf numFmtId="0" fontId="55" fillId="10" borderId="6" xfId="0" applyFont="1" applyFill="1" applyBorder="1" applyAlignment="1">
      <alignment horizontal="center" vertical="center" wrapText="1"/>
    </xf>
    <xf numFmtId="0" fontId="51" fillId="10" borderId="3" xfId="0" applyFont="1" applyFill="1" applyBorder="1" applyAlignment="1">
      <alignment horizontal="center" vertical="center" wrapText="1"/>
    </xf>
    <xf numFmtId="0" fontId="55" fillId="10" borderId="17" xfId="0" applyFont="1" applyFill="1" applyBorder="1" applyAlignment="1">
      <alignment horizontal="center" vertical="center" wrapText="1"/>
    </xf>
    <xf numFmtId="0" fontId="55" fillId="10" borderId="11" xfId="0" applyFont="1" applyFill="1" applyBorder="1" applyAlignment="1">
      <alignment horizontal="center" vertical="center" wrapText="1"/>
    </xf>
    <xf numFmtId="0" fontId="54" fillId="10" borderId="80" xfId="0" applyFont="1" applyFill="1" applyBorder="1" applyAlignment="1">
      <alignment horizontal="center" vertical="center" wrapText="1"/>
    </xf>
    <xf numFmtId="0" fontId="54" fillId="10" borderId="10" xfId="0" applyFont="1" applyFill="1" applyBorder="1" applyAlignment="1">
      <alignment horizontal="center" vertical="center" wrapText="1"/>
    </xf>
    <xf numFmtId="0" fontId="80" fillId="6" borderId="242" xfId="0" applyFont="1" applyFill="1" applyBorder="1" applyAlignment="1">
      <alignment horizontal="left" vertical="center" indent="2"/>
    </xf>
    <xf numFmtId="0" fontId="80" fillId="6" borderId="0" xfId="0" applyFont="1" applyFill="1" applyAlignment="1">
      <alignment horizontal="left" vertical="center" indent="2"/>
    </xf>
    <xf numFmtId="0" fontId="80" fillId="6" borderId="243" xfId="0" applyFont="1" applyFill="1" applyBorder="1" applyAlignment="1">
      <alignment horizontal="left" vertical="center" indent="2"/>
    </xf>
    <xf numFmtId="0" fontId="13" fillId="13" borderId="1" xfId="0" applyFont="1" applyFill="1" applyBorder="1" applyAlignment="1" applyProtection="1">
      <alignment horizontal="center" vertical="center"/>
      <protection hidden="1"/>
    </xf>
    <xf numFmtId="0" fontId="13" fillId="13" borderId="2" xfId="0" applyFont="1" applyFill="1" applyBorder="1" applyAlignment="1" applyProtection="1">
      <alignment horizontal="center" vertical="center"/>
      <protection hidden="1"/>
    </xf>
    <xf numFmtId="0" fontId="13" fillId="13" borderId="3" xfId="0" applyFont="1" applyFill="1" applyBorder="1" applyAlignment="1" applyProtection="1">
      <alignment horizontal="center" vertical="center"/>
      <protection hidden="1"/>
    </xf>
    <xf numFmtId="0" fontId="71" fillId="13" borderId="7" xfId="0" applyFont="1" applyFill="1" applyBorder="1" applyAlignment="1" applyProtection="1">
      <alignment horizontal="left" vertical="center" indent="3"/>
      <protection hidden="1"/>
    </xf>
    <xf numFmtId="0" fontId="71" fillId="13" borderId="0" xfId="0" applyFont="1" applyFill="1" applyAlignment="1" applyProtection="1">
      <alignment horizontal="left" vertical="center" indent="3"/>
      <protection hidden="1"/>
    </xf>
    <xf numFmtId="0" fontId="78" fillId="13" borderId="0" xfId="0" applyFont="1" applyFill="1" applyAlignment="1" applyProtection="1">
      <alignment horizontal="left" wrapText="1"/>
      <protection hidden="1"/>
    </xf>
    <xf numFmtId="0" fontId="78" fillId="13" borderId="80" xfId="0" applyFont="1" applyFill="1" applyBorder="1" applyAlignment="1" applyProtection="1">
      <alignment horizontal="left" wrapText="1"/>
      <protection hidden="1"/>
    </xf>
    <xf numFmtId="0" fontId="79" fillId="6" borderId="239" xfId="6" applyFont="1" applyFill="1" applyBorder="1" applyAlignment="1">
      <alignment horizontal="left" vertical="center"/>
    </xf>
    <xf numFmtId="0" fontId="79" fillId="6" borderId="240" xfId="6" applyFont="1" applyFill="1" applyBorder="1" applyAlignment="1">
      <alignment horizontal="left" vertical="center"/>
    </xf>
    <xf numFmtId="0" fontId="79" fillId="6" borderId="241" xfId="6" applyFont="1" applyFill="1" applyBorder="1" applyAlignment="1">
      <alignment horizontal="left" vertical="center"/>
    </xf>
    <xf numFmtId="0" fontId="80" fillId="6" borderId="242" xfId="0" applyFont="1" applyFill="1" applyBorder="1" applyAlignment="1">
      <alignment horizontal="left" vertical="center" indent="1"/>
    </xf>
    <xf numFmtId="0" fontId="80" fillId="6" borderId="0" xfId="0" applyFont="1" applyFill="1" applyAlignment="1">
      <alignment horizontal="left" vertical="center" indent="1"/>
    </xf>
    <xf numFmtId="0" fontId="80" fillId="6" borderId="243" xfId="0" applyFont="1" applyFill="1" applyBorder="1" applyAlignment="1">
      <alignment horizontal="left" vertical="center" indent="1"/>
    </xf>
    <xf numFmtId="0" fontId="79" fillId="6" borderId="242" xfId="6" applyFont="1" applyFill="1" applyBorder="1" applyAlignment="1">
      <alignment horizontal="left" vertical="center"/>
    </xf>
    <xf numFmtId="0" fontId="79" fillId="6" borderId="0" xfId="6" applyFont="1" applyFill="1" applyBorder="1" applyAlignment="1">
      <alignment horizontal="left" vertical="center"/>
    </xf>
    <xf numFmtId="0" fontId="79" fillId="6" borderId="243" xfId="6" applyFont="1" applyFill="1" applyBorder="1" applyAlignment="1">
      <alignment horizontal="left" vertical="center"/>
    </xf>
    <xf numFmtId="0" fontId="81" fillId="39" borderId="242" xfId="0" applyFont="1" applyFill="1" applyBorder="1" applyAlignment="1">
      <alignment horizontal="left"/>
    </xf>
    <xf numFmtId="0" fontId="81" fillId="39" borderId="0" xfId="0" applyFont="1" applyFill="1" applyAlignment="1">
      <alignment horizontal="left"/>
    </xf>
    <xf numFmtId="0" fontId="81" fillId="39" borderId="243" xfId="0" applyFont="1" applyFill="1" applyBorder="1" applyAlignment="1">
      <alignment horizontal="left"/>
    </xf>
    <xf numFmtId="0" fontId="81" fillId="39" borderId="244" xfId="0" applyFont="1" applyFill="1" applyBorder="1" applyAlignment="1">
      <alignment horizontal="left" wrapText="1"/>
    </xf>
    <xf numFmtId="0" fontId="81" fillId="39" borderId="245" xfId="0" applyFont="1" applyFill="1" applyBorder="1" applyAlignment="1">
      <alignment horizontal="left" wrapText="1"/>
    </xf>
    <xf numFmtId="0" fontId="81" fillId="39" borderId="246" xfId="0" applyFont="1" applyFill="1" applyBorder="1" applyAlignment="1">
      <alignment horizontal="left" wrapText="1"/>
    </xf>
  </cellXfs>
  <cellStyles count="9">
    <cellStyle name="Comma" xfId="7" builtinId="3"/>
    <cellStyle name="Comma 2" xfId="4" xr:uid="{00000000-0005-0000-0000-000001000000}"/>
    <cellStyle name="Currency" xfId="1" builtinId="4"/>
    <cellStyle name="Hyperlink" xfId="6" builtinId="8"/>
    <cellStyle name="Hyperlink 2" xfId="5" xr:uid="{00000000-0005-0000-0000-000004000000}"/>
    <cellStyle name="Normal" xfId="0" builtinId="0"/>
    <cellStyle name="Normal 2" xfId="2" xr:uid="{00000000-0005-0000-0000-000006000000}"/>
    <cellStyle name="Percent" xfId="8" builtinId="5"/>
    <cellStyle name="Percent 2" xfId="3" xr:uid="{00000000-0005-0000-0000-000007000000}"/>
  </cellStyles>
  <dxfs count="8">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colors>
    <mruColors>
      <color rgb="FF003882"/>
      <color rgb="FF001F4D"/>
      <color rgb="FF003B92"/>
      <color rgb="FF003178"/>
      <color rgb="FFEEF3FF"/>
      <color rgb="FFEDF2FF"/>
      <color rgb="FFF0F5FF"/>
      <color rgb="FFB9DBFF"/>
      <color rgb="FFECF1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127000</xdr:rowOff>
    </xdr:from>
    <xdr:to>
      <xdr:col>0</xdr:col>
      <xdr:colOff>21590</xdr:colOff>
      <xdr:row>3</xdr:row>
      <xdr:rowOff>210878</xdr:rowOff>
    </xdr:to>
    <xdr:pic>
      <xdr:nvPicPr>
        <xdr:cNvPr id="3" name="Picture 2">
          <a:extLst>
            <a:ext uri="{FF2B5EF4-FFF2-40B4-BE49-F238E27FC236}">
              <a16:creationId xmlns:a16="http://schemas.microsoft.com/office/drawing/2014/main" id="{2AC33F85-52D2-4D03-9E85-C03344BFF87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8565"/>
        <a:stretch/>
      </xdr:blipFill>
      <xdr:spPr>
        <a:xfrm>
          <a:off x="15240" y="129540"/>
          <a:ext cx="7923179" cy="770585"/>
        </a:xfrm>
        <a:prstGeom prst="rect">
          <a:avLst/>
        </a:prstGeom>
      </xdr:spPr>
    </xdr:pic>
    <xdr:clientData/>
  </xdr:twoCellAnchor>
  <xdr:twoCellAnchor editAs="oneCell">
    <xdr:from>
      <xdr:col>0</xdr:col>
      <xdr:colOff>43543</xdr:colOff>
      <xdr:row>0</xdr:row>
      <xdr:rowOff>0</xdr:rowOff>
    </xdr:from>
    <xdr:to>
      <xdr:col>3</xdr:col>
      <xdr:colOff>63482</xdr:colOff>
      <xdr:row>1</xdr:row>
      <xdr:rowOff>22630</xdr:rowOff>
    </xdr:to>
    <xdr:pic>
      <xdr:nvPicPr>
        <xdr:cNvPr id="4" name="Picture 3">
          <a:extLst>
            <a:ext uri="{FF2B5EF4-FFF2-40B4-BE49-F238E27FC236}">
              <a16:creationId xmlns:a16="http://schemas.microsoft.com/office/drawing/2014/main" id="{FAB7AB77-D8B7-40EC-AD7F-F9D37074480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8565"/>
        <a:stretch/>
      </xdr:blipFill>
      <xdr:spPr>
        <a:xfrm>
          <a:off x="43543" y="0"/>
          <a:ext cx="11094702" cy="10772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0</xdr:row>
      <xdr:rowOff>127000</xdr:rowOff>
    </xdr:from>
    <xdr:to>
      <xdr:col>2</xdr:col>
      <xdr:colOff>4710079</xdr:colOff>
      <xdr:row>0</xdr:row>
      <xdr:rowOff>896315</xdr:rowOff>
    </xdr:to>
    <xdr:pic>
      <xdr:nvPicPr>
        <xdr:cNvPr id="5" name="Picture 4">
          <a:extLst>
            <a:ext uri="{FF2B5EF4-FFF2-40B4-BE49-F238E27FC236}">
              <a16:creationId xmlns:a16="http://schemas.microsoft.com/office/drawing/2014/main" id="{AB2FB5CC-2975-754E-A02E-54494BF4FB1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8565"/>
        <a:stretch/>
      </xdr:blipFill>
      <xdr:spPr>
        <a:xfrm>
          <a:off x="12700" y="127000"/>
          <a:ext cx="8699500" cy="757885"/>
        </a:xfrm>
        <a:prstGeom prst="rect">
          <a:avLst/>
        </a:prstGeom>
      </xdr:spPr>
    </xdr:pic>
    <xdr:clientData/>
  </xdr:twoCellAnchor>
  <xdr:twoCellAnchor editAs="oneCell">
    <xdr:from>
      <xdr:col>0</xdr:col>
      <xdr:colOff>46083</xdr:colOff>
      <xdr:row>0</xdr:row>
      <xdr:rowOff>0</xdr:rowOff>
    </xdr:from>
    <xdr:to>
      <xdr:col>2</xdr:col>
      <xdr:colOff>7110293</xdr:colOff>
      <xdr:row>0</xdr:row>
      <xdr:rowOff>1014095</xdr:rowOff>
    </xdr:to>
    <xdr:pic>
      <xdr:nvPicPr>
        <xdr:cNvPr id="4" name="Picture 3">
          <a:extLst>
            <a:ext uri="{FF2B5EF4-FFF2-40B4-BE49-F238E27FC236}">
              <a16:creationId xmlns:a16="http://schemas.microsoft.com/office/drawing/2014/main" id="{6D2346B4-A9AD-45CC-A336-4ED563C6CE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8565"/>
        <a:stretch/>
      </xdr:blipFill>
      <xdr:spPr>
        <a:xfrm>
          <a:off x="46083" y="0"/>
          <a:ext cx="10294455" cy="1000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444500</xdr:colOff>
      <xdr:row>0</xdr:row>
      <xdr:rowOff>859790</xdr:rowOff>
    </xdr:to>
    <xdr:pic>
      <xdr:nvPicPr>
        <xdr:cNvPr id="2" name="Picture 2">
          <a:extLst>
            <a:ext uri="{FF2B5EF4-FFF2-40B4-BE49-F238E27FC236}">
              <a16:creationId xmlns:a16="http://schemas.microsoft.com/office/drawing/2014/main" id="{0322809F-4ADA-4F2E-9EE8-0EF8365FCCD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8565"/>
        <a:stretch/>
      </xdr:blipFill>
      <xdr:spPr>
        <a:xfrm>
          <a:off x="0" y="0"/>
          <a:ext cx="9271000" cy="857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ronis-my.sharepoint.com/Acronis%20Access/Renat%20Kuramshin%20-%20work%20folder/Pricing/ADC/Calculator/Acronis_Cyber_Cloud_09.20_Calculator_v1.02_EUR_no%20passwo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or"/>
      <sheetName val="Compute Points (Beta)"/>
      <sheetName val="Price List"/>
    </sheetNames>
    <sheetDataSet>
      <sheetData sheetId="0"/>
      <sheetData sheetId="1" refreshError="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cronis.com/en-us/company/licensin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9B8F-F699-4B3F-992B-50F8D4D10FEB}">
  <sheetPr>
    <tabColor rgb="FF003B92"/>
  </sheetPr>
  <dimension ref="A1:L94"/>
  <sheetViews>
    <sheetView tabSelected="1" zoomScale="80" zoomScaleNormal="80" workbookViewId="0">
      <selection activeCell="E3" sqref="E3"/>
    </sheetView>
  </sheetViews>
  <sheetFormatPr defaultColWidth="0" defaultRowHeight="14.1" customHeight="1" zeroHeight="1"/>
  <cols>
    <col min="1" max="1" width="23.42578125" style="6" customWidth="1"/>
    <col min="2" max="2" width="22.85546875" style="6" customWidth="1"/>
    <col min="3" max="3" width="112.5703125" style="6" customWidth="1"/>
    <col min="4" max="4" width="20.42578125" style="6" customWidth="1"/>
    <col min="5" max="5" width="16.42578125" style="6" customWidth="1"/>
    <col min="6" max="6" width="29.28515625" style="6" customWidth="1"/>
    <col min="7" max="7" width="30.7109375" style="6" customWidth="1"/>
    <col min="8" max="8" width="8.85546875" style="6" hidden="1" customWidth="1"/>
    <col min="9" max="12" width="9.42578125" style="6" hidden="1" customWidth="1"/>
    <col min="13" max="16384" width="8.85546875" style="6" hidden="1"/>
  </cols>
  <sheetData>
    <row r="1" spans="1:7" ht="83.45" customHeight="1">
      <c r="A1" s="348"/>
      <c r="B1" s="348"/>
      <c r="C1" s="348"/>
      <c r="D1" s="348"/>
      <c r="E1" s="707"/>
      <c r="F1" s="707"/>
      <c r="G1" s="707"/>
    </row>
    <row r="2" spans="1:7" ht="51.95" customHeight="1" thickBot="1">
      <c r="A2" s="657" t="s">
        <v>0</v>
      </c>
      <c r="B2" s="658"/>
      <c r="C2" s="658"/>
      <c r="D2" s="348"/>
      <c r="E2" s="708" t="str">
        <f>IF(E3&lt;&gt;'Service-based'!E3,"Monthly minimum commitment inconsistency. Select the same commitment for both licensing options","")</f>
        <v/>
      </c>
      <c r="F2" s="708"/>
      <c r="G2" s="708"/>
    </row>
    <row r="3" spans="1:7" ht="22.35" customHeight="1" thickBot="1">
      <c r="A3" s="697" t="s">
        <v>1</v>
      </c>
      <c r="B3" s="698"/>
      <c r="C3" s="699"/>
      <c r="D3" s="346">
        <f>SUMIFS('Pricelist AUD'!G118:N118,'Pricelist AUD'!G119:N119,'Solution-based'!E3)</f>
        <v>1</v>
      </c>
      <c r="E3" s="593">
        <v>350</v>
      </c>
      <c r="F3" s="700" t="str">
        <f>IF(D3=1,IF(G33&gt;'Calculator +1 tier'!F91,"Recommended to switch to higher commitment",""),IF(AND(D3=8,'Calculator -1 tier'!F90&gt;'Pricelist AUD'!N2),"",IF(G33&gt;'Calculator -1 tier'!F91,"Recommended to switch to lower commitment",IF(G33&gt;'Calculator +1 tier'!F91,"Recommended to switch to higher commitment",""))))</f>
        <v/>
      </c>
      <c r="G3" s="701"/>
    </row>
    <row r="4" spans="1:7" ht="24.6" customHeight="1">
      <c r="A4" s="702" t="s">
        <v>2</v>
      </c>
      <c r="B4" s="703"/>
      <c r="C4" s="704"/>
      <c r="D4" s="347"/>
      <c r="E4" s="358" t="s">
        <v>3</v>
      </c>
      <c r="F4" s="705" t="str">
        <f>IF(E4&lt;&gt;'Service-based'!E4,"Select the same DC group for both licensing options","")</f>
        <v/>
      </c>
      <c r="G4" s="706"/>
    </row>
    <row r="5" spans="1:7" ht="30.95" customHeight="1" thickBot="1">
      <c r="A5" s="654" t="s">
        <v>4</v>
      </c>
      <c r="B5" s="655"/>
      <c r="C5" s="656"/>
      <c r="D5" s="359" t="s">
        <v>5</v>
      </c>
      <c r="E5" s="239" t="s">
        <v>6</v>
      </c>
      <c r="F5" s="240" t="s">
        <v>7</v>
      </c>
      <c r="G5" s="241" t="s">
        <v>8</v>
      </c>
    </row>
    <row r="6" spans="1:7" ht="19.5" customHeight="1">
      <c r="A6" s="665" t="s">
        <v>9</v>
      </c>
      <c r="B6" s="666"/>
      <c r="C6" s="276" t="s">
        <v>10</v>
      </c>
      <c r="D6" s="677" t="s">
        <v>11</v>
      </c>
      <c r="E6" s="206"/>
      <c r="F6" s="611" t="str">
        <f>IF(E6&gt;0,IF($D$3=1,SUMIFS('Pricelist AUD'!$G$3:$G$112,'Pricelist AUD'!$O$3:$O$112,'Solution-based'!C6),IF($D$3=2,SUMIFS('Pricelist AUD'!$H$3:$H$112,'Pricelist AUD'!$O$3:$O$112,'Solution-based'!C6),IF($D$3=3,SUMIFS('Pricelist AUD'!$I$3:$I$112,'Pricelist AUD'!$O$3:$O$112,'Solution-based'!C6),IF($D$3=4,SUMIFS('Pricelist AUD'!$J$3:$J$112,'Pricelist AUD'!$O$3:$O$112,'Solution-based'!C6),IF($D$3=5,SUMIFS('Pricelist AUD'!$K$3:$K$112,'Pricelist AUD'!$O$3:$O$112,'Solution-based'!C6),IF($D$3=6,SUMIFS('Pricelist AUD'!$L$3:$L$112,'Pricelist AUD'!$O$3:$O$112,'Solution-based'!C6),IF($D$3=7,SUMIFS('Pricelist AUD'!$M$3:$M$112,'Pricelist AUD'!$O$3:$O$112,'Solution-based'!C6),IF($D$3=8,SUMIFS('Pricelist AUD'!$N$3:$N$112,'Pricelist AUD'!$O$3:$O$112,'Solution-based'!C6),"")))))))),"")</f>
        <v/>
      </c>
      <c r="G6" s="611" t="str">
        <f t="shared" ref="G6:G27" si="0">IFERROR(E6*F6,"")</f>
        <v/>
      </c>
    </row>
    <row r="7" spans="1:7" ht="19.5" customHeight="1">
      <c r="A7" s="667"/>
      <c r="B7" s="668"/>
      <c r="C7" s="278" t="s">
        <v>12</v>
      </c>
      <c r="D7" s="678"/>
      <c r="E7" s="210"/>
      <c r="F7" s="612" t="str">
        <f>IF(E7&gt;0,IF($D$3=1,SUMIFS('Pricelist AUD'!$G$3:$G$112,'Pricelist AUD'!$O$3:$O$112,'Solution-based'!C7),IF($D$3=2,SUMIFS('Pricelist AUD'!$H$3:$H$112,'Pricelist AUD'!$O$3:$O$112,'Solution-based'!C7),IF($D$3=3,SUMIFS('Pricelist AUD'!$I$3:$I$112,'Pricelist AUD'!$O$3:$O$112,'Solution-based'!C7),IF($D$3=4,SUMIFS('Pricelist AUD'!$J$3:$J$112,'Pricelist AUD'!$O$3:$O$112,'Solution-based'!C7),IF($D$3=5,SUMIFS('Pricelist AUD'!$K$3:$K$112,'Pricelist AUD'!$O$3:$O$112,'Solution-based'!C7),IF($D$3=6,SUMIFS('Pricelist AUD'!$L$3:$L$112,'Pricelist AUD'!$O$3:$O$112,'Solution-based'!C7),IF($D$3=7,SUMIFS('Pricelist AUD'!$M$3:$M$112,'Pricelist AUD'!$O$3:$O$112,'Solution-based'!C7),IF($D$3=8,SUMIFS('Pricelist AUD'!$N$3:$N$112,'Pricelist AUD'!$O$3:$O$112,'Solution-based'!C7),"")))))))),"")</f>
        <v/>
      </c>
      <c r="G7" s="612" t="str">
        <f t="shared" si="0"/>
        <v/>
      </c>
    </row>
    <row r="8" spans="1:7" ht="19.5" customHeight="1">
      <c r="A8" s="667"/>
      <c r="B8" s="668"/>
      <c r="C8" s="275" t="s">
        <v>13</v>
      </c>
      <c r="D8" s="679"/>
      <c r="E8" s="206"/>
      <c r="F8" s="613" t="str">
        <f>IF(E8&gt;0,IF($D$3=1,SUMIFS('Pricelist AUD'!$G$3:$G$112,'Pricelist AUD'!$O$3:$O$112,'Solution-based'!C8),IF($D$3=2,SUMIFS('Pricelist AUD'!$H$3:$H$112,'Pricelist AUD'!$O$3:$O$112,'Solution-based'!C8),IF($D$3=3,SUMIFS('Pricelist AUD'!$I$3:$I$112,'Pricelist AUD'!$O$3:$O$112,'Solution-based'!C8),IF($D$3=4,SUMIFS('Pricelist AUD'!$J$3:$J$112,'Pricelist AUD'!$O$3:$O$112,'Solution-based'!C8),IF($D$3=5,SUMIFS('Pricelist AUD'!$K$3:$K$112,'Pricelist AUD'!$O$3:$O$112,'Solution-based'!C8),IF($D$3=6,SUMIFS('Pricelist AUD'!$L$3:$L$112,'Pricelist AUD'!$O$3:$O$112,'Solution-based'!C8),IF($D$3=7,SUMIFS('Pricelist AUD'!$M$3:$M$112,'Pricelist AUD'!$O$3:$O$112,'Solution-based'!C8),IF($D$3=8,SUMIFS('Pricelist AUD'!$N$3:$N$112,'Pricelist AUD'!$O$3:$O$112,'Solution-based'!C8),"")))))))),"")</f>
        <v/>
      </c>
      <c r="G8" s="613" t="str">
        <f t="shared" si="0"/>
        <v/>
      </c>
    </row>
    <row r="9" spans="1:7" s="302" customFormat="1" ht="19.5" customHeight="1">
      <c r="A9" s="669" t="s">
        <v>14</v>
      </c>
      <c r="B9" s="670"/>
      <c r="C9" s="234" t="s">
        <v>15</v>
      </c>
      <c r="D9" s="680" t="s">
        <v>11</v>
      </c>
      <c r="E9" s="211"/>
      <c r="F9" s="614" t="str">
        <f>IF(E9&gt;0,IF($D$3=1,SUMIFS('Pricelist AUD'!$G$3:$G$117,'Pricelist AUD'!$O$3:$O$117,C9,'Pricelist AUD'!$E$3:$E$117,$E$4),IF($D$3=2,SUMIFS('Pricelist AUD'!$H$3:$H$117,'Pricelist AUD'!$O$3:$O$117,C9,'Pricelist AUD'!$E$3:$E$117,$E$4),IF($D$3=3,SUMIFS('Pricelist AUD'!$I$3:$I$117,'Pricelist AUD'!$O$3:$O$117,C9,'Pricelist AUD'!$E$3:$E$117,$E$4),IF($D$3=4,SUMIFS('Pricelist AUD'!$J$3:$J$117,'Pricelist AUD'!$O$3:$O$117,C9,'Pricelist AUD'!$E$3:$E$117,$E$4),IF($D$3=5,SUMIFS('Pricelist AUD'!$K$3:$K$117,'Pricelist AUD'!$O$3:$O$117,C9,'Pricelist AUD'!$E$3:$E$117,$E$4),IF($D$3=6,SUMIFS('Pricelist AUD'!$L$3:$L$117,'Pricelist AUD'!$O$3:$O$117,C9,'Pricelist AUD'!$E$3:$E$117,$E$4),IF($D$3=7,SUMIFS('Pricelist AUD'!$M$3:$M$117,'Pricelist AUD'!$O$3:$O$117,C9,'Pricelist AUD'!$E$3:$E$117,$E$4),IF($D$3=8,SUMIFS('Pricelist AUD'!$N$3:$N$117,'Pricelist AUD'!$O$3:$O$117,C9,'Pricelist AUD'!$E$3:$E$117,$E$4),"")))))))),"")</f>
        <v/>
      </c>
      <c r="G9" s="614" t="str">
        <f t="shared" si="0"/>
        <v/>
      </c>
    </row>
    <row r="10" spans="1:7" ht="19.5" customHeight="1">
      <c r="A10" s="671"/>
      <c r="B10" s="672"/>
      <c r="C10" s="305" t="s">
        <v>16</v>
      </c>
      <c r="D10" s="681"/>
      <c r="E10" s="206"/>
      <c r="F10" s="615" t="str">
        <f>IF(E10&gt;0,IF($D$3=1,SUMIFS('Pricelist AUD'!$G$3:$G$117,'Pricelist AUD'!$O$3:$O$117,C10,'Pricelist AUD'!$E$3:$E$117,$E$4),IF($D$3=2,SUMIFS('Pricelist AUD'!$H$3:$H$117,'Pricelist AUD'!$O$3:$O$117,C10,'Pricelist AUD'!$E$3:$E$117,$E$4),IF($D$3=3,SUMIFS('Pricelist AUD'!$I$3:$I$117,'Pricelist AUD'!$O$3:$O$117,C10,'Pricelist AUD'!$E$3:$E$117,$E$4),IF($D$3=4,SUMIFS('Pricelist AUD'!$J$3:$J$117,'Pricelist AUD'!$O$3:$O$117,C10,'Pricelist AUD'!$E$3:$E$117,$E$4),IF($D$3=5,SUMIFS('Pricelist AUD'!$K$3:$K$117,'Pricelist AUD'!$O$3:$O$117,C10,'Pricelist AUD'!$E$3:$E$117,$E$4),IF($D$3=6,SUMIFS('Pricelist AUD'!$L$3:$L$117,'Pricelist AUD'!$O$3:$O$117,C10,'Pricelist AUD'!$E$3:$E$117,$E$4),IF($D$3=7,SUMIFS('Pricelist AUD'!$M$3:$M$117,'Pricelist AUD'!$O$3:$O$117,C10,'Pricelist AUD'!$E$3:$E$117,$E$4),IF($D$3=8,SUMIFS('Pricelist AUD'!$N$3:$N$117,'Pricelist AUD'!$O$3:$O$117,C10,'Pricelist AUD'!$E$3:$E$117,$E$4),"")))))))),"")</f>
        <v/>
      </c>
      <c r="G10" s="615" t="str">
        <f t="shared" si="0"/>
        <v/>
      </c>
    </row>
    <row r="11" spans="1:7" ht="19.5" customHeight="1">
      <c r="A11" s="671"/>
      <c r="B11" s="672"/>
      <c r="C11" s="304" t="s">
        <v>17</v>
      </c>
      <c r="D11" s="681"/>
      <c r="E11" s="210"/>
      <c r="F11" s="612" t="str">
        <f>IF(E11&gt;0,IF($D$3=1,SUMIFS('Pricelist AUD'!$G$3:$G$117,'Pricelist AUD'!$O$3:$O$117,C11,'Pricelist AUD'!$E$3:$E$117,$E$4),IF($D$3=2,SUMIFS('Pricelist AUD'!$H$3:$H$117,'Pricelist AUD'!$O$3:$O$117,C11,'Pricelist AUD'!$E$3:$E$117,$E$4),IF($D$3=3,SUMIFS('Pricelist AUD'!$I$3:$I$117,'Pricelist AUD'!$O$3:$O$117,C11,'Pricelist AUD'!$E$3:$E$117,$E$4),IF($D$3=4,SUMIFS('Pricelist AUD'!$J$3:$J$117,'Pricelist AUD'!$O$3:$O$117,C11,'Pricelist AUD'!$E$3:$E$117,$E$4),IF($D$3=5,SUMIFS('Pricelist AUD'!$K$3:$K$117,'Pricelist AUD'!$O$3:$O$117,C11,'Pricelist AUD'!$E$3:$E$117,$E$4),IF($D$3=6,SUMIFS('Pricelist AUD'!$L$3:$L$117,'Pricelist AUD'!$O$3:$O$117,C11,'Pricelist AUD'!$E$3:$E$117,$E$4),IF($D$3=7,SUMIFS('Pricelist AUD'!$M$3:$M$117,'Pricelist AUD'!$O$3:$O$117,C11,'Pricelist AUD'!$E$3:$E$117,$E$4),IF($D$3=8,SUMIFS('Pricelist AUD'!$N$3:$N$117,'Pricelist AUD'!$O$3:$O$117,C11,'Pricelist AUD'!$E$3:$E$117,$E$4),"")))))))),"")</f>
        <v/>
      </c>
      <c r="G11" s="612" t="str">
        <f t="shared" si="0"/>
        <v/>
      </c>
    </row>
    <row r="12" spans="1:7" ht="19.5" customHeight="1">
      <c r="A12" s="671"/>
      <c r="B12" s="672"/>
      <c r="C12" s="305" t="s">
        <v>18</v>
      </c>
      <c r="D12" s="681"/>
      <c r="E12" s="206"/>
      <c r="F12" s="615" t="str">
        <f>IF(E12&gt;0,IF($D$3=1,SUMIFS('Pricelist AUD'!$G$3:$G$117,'Pricelist AUD'!$O$3:$O$117,C12,'Pricelist AUD'!$E$3:$E$117,$E$4),IF($D$3=2,SUMIFS('Pricelist AUD'!$H$3:$H$117,'Pricelist AUD'!$O$3:$O$117,C12,'Pricelist AUD'!$E$3:$E$117,$E$4),IF($D$3=3,SUMIFS('Pricelist AUD'!$I$3:$I$117,'Pricelist AUD'!$O$3:$O$117,C12,'Pricelist AUD'!$E$3:$E$117,$E$4),IF($D$3=4,SUMIFS('Pricelist AUD'!$J$3:$J$117,'Pricelist AUD'!$O$3:$O$117,C12,'Pricelist AUD'!$E$3:$E$117,$E$4),IF($D$3=5,SUMIFS('Pricelist AUD'!$K$3:$K$117,'Pricelist AUD'!$O$3:$O$117,C12,'Pricelist AUD'!$E$3:$E$117,$E$4),IF($D$3=6,SUMIFS('Pricelist AUD'!$L$3:$L$117,'Pricelist AUD'!$O$3:$O$117,C12,'Pricelist AUD'!$E$3:$E$117,$E$4),IF($D$3=7,SUMIFS('Pricelist AUD'!$M$3:$M$117,'Pricelist AUD'!$O$3:$O$117,C12,'Pricelist AUD'!$E$3:$E$117,$E$4),IF($D$3=8,SUMIFS('Pricelist AUD'!$N$3:$N$117,'Pricelist AUD'!$O$3:$O$117,C12,'Pricelist AUD'!$E$3:$E$117,$E$4),"")))))))),"")</f>
        <v/>
      </c>
      <c r="G12" s="615" t="str">
        <f t="shared" si="0"/>
        <v/>
      </c>
    </row>
    <row r="13" spans="1:7" ht="19.5" customHeight="1">
      <c r="A13" s="671"/>
      <c r="B13" s="672"/>
      <c r="C13" s="304" t="s">
        <v>19</v>
      </c>
      <c r="D13" s="681"/>
      <c r="E13" s="210"/>
      <c r="F13" s="612" t="str">
        <f>IF(E13&gt;0,IF($D$3=1,SUMIFS('Pricelist AUD'!$G$3:$G$117,'Pricelist AUD'!$O$3:$O$117,C13,'Pricelist AUD'!$E$3:$E$117,$E$4),IF($D$3=2,SUMIFS('Pricelist AUD'!$H$3:$H$117,'Pricelist AUD'!$O$3:$O$117,C13,'Pricelist AUD'!$E$3:$E$117,$E$4),IF($D$3=3,SUMIFS('Pricelist AUD'!$I$3:$I$117,'Pricelist AUD'!$O$3:$O$117,C13,'Pricelist AUD'!$E$3:$E$117,$E$4),IF($D$3=4,SUMIFS('Pricelist AUD'!$J$3:$J$117,'Pricelist AUD'!$O$3:$O$117,C13,'Pricelist AUD'!$E$3:$E$117,$E$4),IF($D$3=5,SUMIFS('Pricelist AUD'!$K$3:$K$117,'Pricelist AUD'!$O$3:$O$117,C13,'Pricelist AUD'!$E$3:$E$117,$E$4),IF($D$3=6,SUMIFS('Pricelist AUD'!$L$3:$L$117,'Pricelist AUD'!$O$3:$O$117,C13,'Pricelist AUD'!$E$3:$E$117,$E$4),IF($D$3=7,SUMIFS('Pricelist AUD'!$M$3:$M$117,'Pricelist AUD'!$O$3:$O$117,C13,'Pricelist AUD'!$E$3:$E$117,$E$4),IF($D$3=8,SUMIFS('Pricelist AUD'!$N$3:$N$117,'Pricelist AUD'!$O$3:$O$117,C13,'Pricelist AUD'!$E$3:$E$117,$E$4),"")))))))),"")</f>
        <v/>
      </c>
      <c r="G13" s="612" t="str">
        <f t="shared" si="0"/>
        <v/>
      </c>
    </row>
    <row r="14" spans="1:7" ht="19.5" customHeight="1">
      <c r="A14" s="671"/>
      <c r="B14" s="672"/>
      <c r="C14" s="305" t="s">
        <v>20</v>
      </c>
      <c r="D14" s="681"/>
      <c r="E14" s="206"/>
      <c r="F14" s="615" t="str">
        <f>IF(E14&gt;0,IF($D$3=1,SUMIFS('Pricelist AUD'!$G$3:$G$117,'Pricelist AUD'!$O$3:$O$117,C14,'Pricelist AUD'!$E$3:$E$117,$E$4),IF($D$3=2,SUMIFS('Pricelist AUD'!$H$3:$H$117,'Pricelist AUD'!$O$3:$O$117,C14,'Pricelist AUD'!$E$3:$E$117,$E$4),IF($D$3=3,SUMIFS('Pricelist AUD'!$I$3:$I$117,'Pricelist AUD'!$O$3:$O$117,C14,'Pricelist AUD'!$E$3:$E$117,$E$4),IF($D$3=4,SUMIFS('Pricelist AUD'!$J$3:$J$117,'Pricelist AUD'!$O$3:$O$117,C14,'Pricelist AUD'!$E$3:$E$117,$E$4),IF($D$3=5,SUMIFS('Pricelist AUD'!$K$3:$K$117,'Pricelist AUD'!$O$3:$O$117,C14,'Pricelist AUD'!$E$3:$E$117,$E$4),IF($D$3=6,SUMIFS('Pricelist AUD'!$L$3:$L$117,'Pricelist AUD'!$O$3:$O$117,C14,'Pricelist AUD'!$E$3:$E$117,$E$4),IF($D$3=7,SUMIFS('Pricelist AUD'!$M$3:$M$117,'Pricelist AUD'!$O$3:$O$117,C14,'Pricelist AUD'!$E$3:$E$117,$E$4),IF($D$3=8,SUMIFS('Pricelist AUD'!$N$3:$N$117,'Pricelist AUD'!$O$3:$O$117,C14,'Pricelist AUD'!$E$3:$E$117,$E$4),"")))))))),"")</f>
        <v/>
      </c>
      <c r="G14" s="615" t="str">
        <f t="shared" si="0"/>
        <v/>
      </c>
    </row>
    <row r="15" spans="1:7" s="303" customFormat="1" ht="19.5" customHeight="1">
      <c r="A15" s="673"/>
      <c r="B15" s="674"/>
      <c r="C15" s="227" t="s">
        <v>21</v>
      </c>
      <c r="D15" s="682"/>
      <c r="E15" s="207"/>
      <c r="F15" s="616" t="str">
        <f>IF(E15&gt;0,IF($D$3=1,SUMIFS('Pricelist AUD'!$G$3:$G$117,'Pricelist AUD'!$O$3:$O$117,C15,'Pricelist AUD'!$E$3:$E$117,$E$4),IF($D$3=2,SUMIFS('Pricelist AUD'!$H$3:$H$117,'Pricelist AUD'!$O$3:$O$117,C15,'Pricelist AUD'!$E$3:$E$117,$E$4),IF($D$3=3,SUMIFS('Pricelist AUD'!$I$3:$I$117,'Pricelist AUD'!$O$3:$O$117,C15,'Pricelist AUD'!$E$3:$E$117,$E$4),IF($D$3=4,SUMIFS('Pricelist AUD'!$J$3:$J$117,'Pricelist AUD'!$O$3:$O$117,C15,'Pricelist AUD'!$E$3:$E$117,$E$4),IF($D$3=5,SUMIFS('Pricelist AUD'!$K$3:$K$117,'Pricelist AUD'!$O$3:$O$117,C15,'Pricelist AUD'!$E$3:$E$117,$E$4),IF($D$3=6,SUMIFS('Pricelist AUD'!$L$3:$L$117,'Pricelist AUD'!$O$3:$O$117,C15,'Pricelist AUD'!$E$3:$E$117,$E$4),IF($D$3=7,SUMIFS('Pricelist AUD'!$M$3:$M$117,'Pricelist AUD'!$O$3:$O$117,C15,'Pricelist AUD'!$E$3:$E$117,$E$4),IF($D$3=8,SUMIFS('Pricelist AUD'!$N$3:$N$117,'Pricelist AUD'!$O$3:$O$117,C15,'Pricelist AUD'!$E$3:$E$117,$E$4),"")))))))),"")</f>
        <v/>
      </c>
      <c r="G15" s="616" t="str">
        <f t="shared" si="0"/>
        <v/>
      </c>
    </row>
    <row r="16" spans="1:7" ht="19.5" customHeight="1">
      <c r="A16" s="669" t="s">
        <v>22</v>
      </c>
      <c r="B16" s="670"/>
      <c r="C16" s="231" t="s">
        <v>23</v>
      </c>
      <c r="D16" s="683" t="s">
        <v>11</v>
      </c>
      <c r="E16" s="208"/>
      <c r="F16" s="611" t="str">
        <f>IF(E16&gt;0,IF($D$3=1,SUMIFS('Pricelist AUD'!$G$3:$G$117,'Pricelist AUD'!$O$3:$O$117,C16,'Pricelist AUD'!$E$3:$E$117,$E$4),IF($D$3=2,SUMIFS('Pricelist AUD'!$H$3:$H$117,'Pricelist AUD'!$O$3:$O$117,C16,'Pricelist AUD'!$E$3:$E$117,$E$4),IF($D$3=3,SUMIFS('Pricelist AUD'!$I$3:$I$117,'Pricelist AUD'!$O$3:$O$117,C16,'Pricelist AUD'!$E$3:$E$117,$E$4),IF($D$3=4,SUMIFS('Pricelist AUD'!$J$3:$J$117,'Pricelist AUD'!$O$3:$O$117,C16,'Pricelist AUD'!$E$3:$E$117,$E$4),IF($D$3=5,SUMIFS('Pricelist AUD'!$K$3:$K$117,'Pricelist AUD'!$O$3:$O$117,C16,'Pricelist AUD'!$E$3:$E$117,$E$4),IF($D$3=6,SUMIFS('Pricelist AUD'!$L$3:$L$117,'Pricelist AUD'!$O$3:$O$117,C16,'Pricelist AUD'!$E$3:$E$117,$E$4),IF($D$3=7,SUMIFS('Pricelist AUD'!$M$3:$M$117,'Pricelist AUD'!$O$3:$O$117,C16,'Pricelist AUD'!$E$3:$E$117,$E$4),IF($D$3=8,SUMIFS('Pricelist AUD'!$N$3:$N$117,'Pricelist AUD'!$O$3:$O$117,C16,'Pricelist AUD'!$E$3:$E$117,$E$4),"")))))))),"")</f>
        <v/>
      </c>
      <c r="G16" s="611" t="str">
        <f t="shared" si="0"/>
        <v/>
      </c>
    </row>
    <row r="17" spans="1:10" ht="19.5" customHeight="1">
      <c r="A17" s="671"/>
      <c r="B17" s="672"/>
      <c r="C17" s="225" t="s">
        <v>24</v>
      </c>
      <c r="D17" s="684"/>
      <c r="E17" s="210"/>
      <c r="F17" s="612" t="str">
        <f>IF(E17&gt;0,IF($D$3=1,SUMIFS('Pricelist AUD'!$G$3:$G$117,'Pricelist AUD'!$O$3:$O$117,C17,'Pricelist AUD'!$E$3:$E$117,$E$4),IF($D$3=2,SUMIFS('Pricelist AUD'!$H$3:$H$117,'Pricelist AUD'!$O$3:$O$117,C17,'Pricelist AUD'!$E$3:$E$117,$E$4),IF($D$3=3,SUMIFS('Pricelist AUD'!$I$3:$I$117,'Pricelist AUD'!$O$3:$O$117,C17,'Pricelist AUD'!$E$3:$E$117,$E$4),IF($D$3=4,SUMIFS('Pricelist AUD'!$J$3:$J$117,'Pricelist AUD'!$O$3:$O$117,C17,'Pricelist AUD'!$E$3:$E$117,$E$4),IF($D$3=5,SUMIFS('Pricelist AUD'!$K$3:$K$117,'Pricelist AUD'!$O$3:$O$117,C17,'Pricelist AUD'!$E$3:$E$117,$E$4),IF($D$3=6,SUMIFS('Pricelist AUD'!$L$3:$L$117,'Pricelist AUD'!$O$3:$O$117,C17,'Pricelist AUD'!$E$3:$E$117,$E$4),IF($D$3=7,SUMIFS('Pricelist AUD'!$M$3:$M$117,'Pricelist AUD'!$O$3:$O$117,C17,'Pricelist AUD'!$E$3:$E$117,$E$4),IF($D$3=8,SUMIFS('Pricelist AUD'!$N$3:$N$117,'Pricelist AUD'!$O$3:$O$117,C17,'Pricelist AUD'!$E$3:$E$117,$E$4),"")))))))),"")</f>
        <v/>
      </c>
      <c r="G17" s="612" t="str">
        <f t="shared" si="0"/>
        <v/>
      </c>
    </row>
    <row r="18" spans="1:10" ht="19.5" customHeight="1">
      <c r="A18" s="671"/>
      <c r="B18" s="672"/>
      <c r="C18" s="231" t="s">
        <v>25</v>
      </c>
      <c r="D18" s="684"/>
      <c r="E18" s="206"/>
      <c r="F18" s="615" t="str">
        <f>IF(E18&gt;0,IF($D$3=1,SUMIFS('Pricelist AUD'!$G$3:$G$117,'Pricelist AUD'!$O$3:$O$117,C18,'Pricelist AUD'!$E$3:$E$117,$E$4),IF($D$3=2,SUMIFS('Pricelist AUD'!$H$3:$H$117,'Pricelist AUD'!$O$3:$O$117,C18,'Pricelist AUD'!$E$3:$E$117,$E$4),IF($D$3=3,SUMIFS('Pricelist AUD'!$I$3:$I$117,'Pricelist AUD'!$O$3:$O$117,C18,'Pricelist AUD'!$E$3:$E$117,$E$4),IF($D$3=4,SUMIFS('Pricelist AUD'!$J$3:$J$117,'Pricelist AUD'!$O$3:$O$117,C18,'Pricelist AUD'!$E$3:$E$117,$E$4),IF($D$3=5,SUMIFS('Pricelist AUD'!$K$3:$K$117,'Pricelist AUD'!$O$3:$O$117,C18,'Pricelist AUD'!$E$3:$E$117,$E$4),IF($D$3=6,SUMIFS('Pricelist AUD'!$L$3:$L$117,'Pricelist AUD'!$O$3:$O$117,C18,'Pricelist AUD'!$E$3:$E$117,$E$4),IF($D$3=7,SUMIFS('Pricelist AUD'!$M$3:$M$117,'Pricelist AUD'!$O$3:$O$117,C18,'Pricelist AUD'!$E$3:$E$117,$E$4),IF($D$3=8,SUMIFS('Pricelist AUD'!$N$3:$N$117,'Pricelist AUD'!$O$3:$O$117,C18,'Pricelist AUD'!$E$3:$E$117,$E$4),"")))))))),"")</f>
        <v/>
      </c>
      <c r="G18" s="615" t="str">
        <f t="shared" si="0"/>
        <v/>
      </c>
    </row>
    <row r="19" spans="1:10" ht="19.5" customHeight="1">
      <c r="A19" s="671"/>
      <c r="B19" s="672"/>
      <c r="C19" s="225" t="s">
        <v>26</v>
      </c>
      <c r="D19" s="684"/>
      <c r="E19" s="210"/>
      <c r="F19" s="612" t="str">
        <f>IF(E19&gt;0,IF($D$3=1,SUMIFS('Pricelist AUD'!$G$3:$G$117,'Pricelist AUD'!$O$3:$O$117,C19,'Pricelist AUD'!$E$3:$E$117,$E$4),IF($D$3=2,SUMIFS('Pricelist AUD'!$H$3:$H$117,'Pricelist AUD'!$O$3:$O$117,C19,'Pricelist AUD'!$E$3:$E$117,$E$4),IF($D$3=3,SUMIFS('Pricelist AUD'!$I$3:$I$117,'Pricelist AUD'!$O$3:$O$117,C19,'Pricelist AUD'!$E$3:$E$117,$E$4),IF($D$3=4,SUMIFS('Pricelist AUD'!$J$3:$J$117,'Pricelist AUD'!$O$3:$O$117,C19,'Pricelist AUD'!$E$3:$E$117,$E$4),IF($D$3=5,SUMIFS('Pricelist AUD'!$K$3:$K$117,'Pricelist AUD'!$O$3:$O$117,C19,'Pricelist AUD'!$E$3:$E$117,$E$4),IF($D$3=6,SUMIFS('Pricelist AUD'!$L$3:$L$117,'Pricelist AUD'!$O$3:$O$117,C19,'Pricelist AUD'!$E$3:$E$117,$E$4),IF($D$3=7,SUMIFS('Pricelist AUD'!$M$3:$M$117,'Pricelist AUD'!$O$3:$O$117,C19,'Pricelist AUD'!$E$3:$E$117,$E$4),IF($D$3=8,SUMIFS('Pricelist AUD'!$N$3:$N$117,'Pricelist AUD'!$O$3:$O$117,C19,'Pricelist AUD'!$E$3:$E$117,$E$4),"")))))))),"")</f>
        <v/>
      </c>
      <c r="G19" s="612" t="str">
        <f t="shared" si="0"/>
        <v/>
      </c>
    </row>
    <row r="20" spans="1:10" ht="19.5" customHeight="1">
      <c r="A20" s="673"/>
      <c r="B20" s="674"/>
      <c r="C20" s="231" t="s">
        <v>27</v>
      </c>
      <c r="D20" s="685"/>
      <c r="E20" s="206"/>
      <c r="F20" s="615" t="str">
        <f>IF(E20&gt;0,IF($D$3=1,SUMIFS('Pricelist AUD'!$G$3:$G$117,'Pricelist AUD'!$O$3:$O$117,C20,'Pricelist AUD'!$E$3:$E$117,$E$4),IF($D$3=2,SUMIFS('Pricelist AUD'!$H$3:$H$117,'Pricelist AUD'!$O$3:$O$117,C20,'Pricelist AUD'!$E$3:$E$117,$E$4),IF($D$3=3,SUMIFS('Pricelist AUD'!$I$3:$I$117,'Pricelist AUD'!$O$3:$O$117,C20,'Pricelist AUD'!$E$3:$E$117,$E$4),IF($D$3=4,SUMIFS('Pricelist AUD'!$J$3:$J$117,'Pricelist AUD'!$O$3:$O$117,C20,'Pricelist AUD'!$E$3:$E$117,$E$4),IF($D$3=5,SUMIFS('Pricelist AUD'!$K$3:$K$117,'Pricelist AUD'!$O$3:$O$117,C20,'Pricelist AUD'!$E$3:$E$117,$E$4),IF($D$3=6,SUMIFS('Pricelist AUD'!$L$3:$L$117,'Pricelist AUD'!$O$3:$O$117,C20,'Pricelist AUD'!$E$3:$E$117,$E$4),IF($D$3=7,SUMIFS('Pricelist AUD'!$M$3:$M$117,'Pricelist AUD'!$O$3:$O$117,C20,'Pricelist AUD'!$E$3:$E$117,$E$4),IF($D$3=8,SUMIFS('Pricelist AUD'!$N$3:$N$117,'Pricelist AUD'!$O$3:$O$117,C20,'Pricelist AUD'!$E$3:$E$117,$E$4),"")))))))),"")</f>
        <v/>
      </c>
      <c r="G20" s="615" t="str">
        <f t="shared" si="0"/>
        <v/>
      </c>
    </row>
    <row r="21" spans="1:10" ht="19.5" customHeight="1">
      <c r="A21" s="661" t="s">
        <v>28</v>
      </c>
      <c r="B21" s="662"/>
      <c r="C21" s="234" t="s">
        <v>29</v>
      </c>
      <c r="D21" s="695" t="s">
        <v>30</v>
      </c>
      <c r="E21" s="211"/>
      <c r="F21" s="572" t="str">
        <f>IF(E21&gt;0,IF($D$3=1,SUMIFS('Pricelist AUD'!$G$3:$G$112,'Pricelist AUD'!$O$3:$O$112,'Solution-based'!C21),IF($D$3=2,SUMIFS('Pricelist AUD'!$H$3:$H$112,'Pricelist AUD'!$O$3:$O$112,'Solution-based'!C21),IF($D$3=3,SUMIFS('Pricelist AUD'!$I$3:$I$112,'Pricelist AUD'!$O$3:$O$112,'Solution-based'!C21),IF($D$3=4,SUMIFS('Pricelist AUD'!$J$3:$J$112,'Pricelist AUD'!$O$3:$O$112,'Solution-based'!C21),IF($D$3=5,SUMIFS('Pricelist AUD'!$K$3:$K$112,'Pricelist AUD'!$O$3:$O$112,'Solution-based'!C21),IF($D$3=6,SUMIFS('Pricelist AUD'!$L$3:$L$112,'Pricelist AUD'!$O$3:$O$112,'Solution-based'!C21),IF($D$3=7,SUMIFS('Pricelist AUD'!$M$3:$M$112,'Pricelist AUD'!$O$3:$O$112,'Solution-based'!C21),IF($D$3=8,SUMIFS('Pricelist AUD'!$N$3:$N$112,'Pricelist AUD'!$O$3:$O$112,'Solution-based'!C21),"")))))))),"")</f>
        <v/>
      </c>
      <c r="G21" s="572" t="str">
        <f t="shared" si="0"/>
        <v/>
      </c>
    </row>
    <row r="22" spans="1:10" ht="19.5" customHeight="1" thickBot="1">
      <c r="A22" s="663"/>
      <c r="B22" s="664"/>
      <c r="C22" s="305" t="s">
        <v>31</v>
      </c>
      <c r="D22" s="696"/>
      <c r="E22" s="206"/>
      <c r="F22" s="587" t="str">
        <f>IF(E22&gt;0,IF($D$3=1,SUMIFS('Pricelist AUD'!$G$3:$G$112,'Pricelist AUD'!$O$3:$O$112,'Solution-based'!C22),IF($D$3=2,SUMIFS('Pricelist AUD'!$H$3:$H$112,'Pricelist AUD'!$O$3:$O$112,'Solution-based'!C22),IF($D$3=3,SUMIFS('Pricelist AUD'!$I$3:$I$112,'Pricelist AUD'!$O$3:$O$112,'Solution-based'!C22),IF($D$3=4,SUMIFS('Pricelist AUD'!$J$3:$J$112,'Pricelist AUD'!$O$3:$O$112,'Solution-based'!C22),IF($D$3=5,SUMIFS('Pricelist AUD'!$K$3:$K$112,'Pricelist AUD'!$O$3:$O$112,'Solution-based'!C22),IF($D$3=6,SUMIFS('Pricelist AUD'!$L$3:$L$112,'Pricelist AUD'!$O$3:$O$112,'Solution-based'!C22),IF($D$3=7,SUMIFS('Pricelist AUD'!$M$3:$M$112,'Pricelist AUD'!$O$3:$O$112,'Solution-based'!C22),IF($D$3=8,SUMIFS('Pricelist AUD'!$N$3:$N$112,'Pricelist AUD'!$O$3:$O$112,'Solution-based'!C22),"")))))))),"")</f>
        <v/>
      </c>
      <c r="G22" s="587" t="str">
        <f t="shared" si="0"/>
        <v/>
      </c>
    </row>
    <row r="23" spans="1:10" s="313" customFormat="1" ht="19.5" customHeight="1" thickBot="1">
      <c r="A23" s="675" t="s">
        <v>32</v>
      </c>
      <c r="B23" s="676"/>
      <c r="C23" s="238" t="s">
        <v>33</v>
      </c>
      <c r="D23" s="329" t="s">
        <v>11</v>
      </c>
      <c r="E23" s="314"/>
      <c r="F23" s="612" t="str">
        <f>IF(E23&gt;0,IF($D$3=1,SUMIFS('Pricelist AUD'!$G$3:$G$112,'Pricelist AUD'!$O$3:$O$112,'Solution-based'!C23),IF($D$3=2,SUMIFS('Pricelist AUD'!$H$3:$H$112,'Pricelist AUD'!$O$3:$O$112,'Solution-based'!C23),IF($D$3=3,SUMIFS('Pricelist AUD'!$I$3:$I$112,'Pricelist AUD'!$O$3:$O$112,'Solution-based'!C23),IF($D$3=4,SUMIFS('Pricelist AUD'!$J$3:$J$112,'Pricelist AUD'!$O$3:$O$112,'Solution-based'!C23),IF($D$3=5,SUMIFS('Pricelist AUD'!$K$3:$K$112,'Pricelist AUD'!$O$3:$O$112,'Solution-based'!C23),IF($D$3=6,SUMIFS('Pricelist AUD'!$L$3:$L$112,'Pricelist AUD'!$O$3:$O$112,'Solution-based'!C23),IF($D$3=7,SUMIFS('Pricelist AUD'!$M$3:$M$112,'Pricelist AUD'!$O$3:$O$112,'Solution-based'!C23),IF($D$3=8,SUMIFS('Pricelist AUD'!$N$3:$N$112,'Pricelist AUD'!$O$3:$O$112,'Solution-based'!C23),"")))))))),"")</f>
        <v/>
      </c>
      <c r="G23" s="574" t="str">
        <f t="shared" si="0"/>
        <v/>
      </c>
    </row>
    <row r="24" spans="1:10" ht="32.1" customHeight="1">
      <c r="A24" s="675" t="s">
        <v>34</v>
      </c>
      <c r="B24" s="676"/>
      <c r="C24" s="231" t="s">
        <v>35</v>
      </c>
      <c r="D24" s="328" t="s">
        <v>36</v>
      </c>
      <c r="E24" s="215"/>
      <c r="F24" s="625" t="str">
        <f>IF(E24&gt;0,IF($D$3=1,SUMIFS('Pricelist AUD'!$G$3:$G$117,'Pricelist AUD'!$O$3:$O$117,C24,'Pricelist AUD'!$E$3:$E$117,$E$4),IF($D$3=2,SUMIFS('Pricelist AUD'!$H$3:$H$117,'Pricelist AUD'!$O$3:$O$117,C24,'Pricelist AUD'!$E$3:$E$117,$E$4),IF($D$3=3,SUMIFS('Pricelist AUD'!$I$3:$I$117,'Pricelist AUD'!$O$3:$O$117,C24,'Pricelist AUD'!$E$3:$E$117,$E$4),IF($D$3=4,SUMIFS('Pricelist AUD'!$J$3:$J$117,'Pricelist AUD'!$O$3:$O$117,C24,'Pricelist AUD'!$E$3:$E$117,$E$4),IF($D$3=5,SUMIFS('Pricelist AUD'!$K$3:$K$117,'Pricelist AUD'!$O$3:$O$117,C24,'Pricelist AUD'!$E$3:$E$117,$E$4),IF($D$3=6,SUMIFS('Pricelist AUD'!$L$3:$L$117,'Pricelist AUD'!$O$3:$O$117,C24,'Pricelist AUD'!$E$3:$E$117,$E$4),IF($D$3=7,SUMIFS('Pricelist AUD'!$M$3:$M$117,'Pricelist AUD'!$O$3:$O$117,C24,'Pricelist AUD'!$E$3:$E$117,$E$4),IF($D$3=8,SUMIFS('Pricelist AUD'!$N$3:$N$117,'Pricelist AUD'!$O$3:$O$117,C24,'Pricelist AUD'!$E$3:$E$117,$E$4),"")))))))),"")</f>
        <v/>
      </c>
      <c r="G24" s="617" t="str">
        <f t="shared" si="0"/>
        <v/>
      </c>
    </row>
    <row r="25" spans="1:10" ht="19.5" customHeight="1">
      <c r="A25" s="686" t="s">
        <v>37</v>
      </c>
      <c r="B25" s="687"/>
      <c r="C25" s="326" t="str">
        <f>'Pricelist AUD'!O35</f>
        <v>Solution-based licensing - Backup Geo-redundant - Acronis Hosted Storage</v>
      </c>
      <c r="D25" s="692" t="s">
        <v>36</v>
      </c>
      <c r="E25" s="214"/>
      <c r="F25" s="607" t="str">
        <f>IF(AND(E25&gt;0,E4="G2"),"Not available for G2",IF(E25&gt;0,IF($D$3=1,SUMIFS('Pricelist AUD'!$G$3:$G$112,'Pricelist AUD'!$O$3:$O$112,'Solution-based'!C25),IF($D$3=2,SUMIFS('Pricelist AUD'!$H$3:$H$112,'Pricelist AUD'!$O$3:$O$112,'Solution-based'!C25),IF($D$3=3,SUMIFS('Pricelist AUD'!$I$3:$I$112,'Pricelist AUD'!$O$3:$O$112,'Solution-based'!C25),IF($D$3=4,SUMIFS('Pricelist AUD'!$J$3:$J$112,'Pricelist AUD'!$O$3:$O$112,'Solution-based'!C25),IF($D$3=5,SUMIFS('Pricelist AUD'!$K$3:$K$112,'Pricelist AUD'!$O$3:$O$112,'Solution-based'!C25),IF($D$3=6,SUMIFS('Pricelist AUD'!$L$3:$L$112,'Pricelist AUD'!$O$3:$O$112,'Solution-based'!C25),IF($D$3=7,SUMIFS('Pricelist AUD'!$M$3:$M$112,'Pricelist AUD'!$O$3:$O$112,'Solution-based'!C25),IF($D$3=8,SUMIFS('Pricelist AUD'!$N$3:$N$112,'Pricelist AUD'!$O$3:$O$112,'Solution-based'!C25),"")))))))),""))</f>
        <v/>
      </c>
      <c r="G25" s="568" t="str">
        <f t="shared" si="0"/>
        <v/>
      </c>
    </row>
    <row r="26" spans="1:10" ht="19.5" customHeight="1">
      <c r="A26" s="688"/>
      <c r="B26" s="689"/>
      <c r="C26" s="325" t="str">
        <f>'Pricelist AUD'!O36</f>
        <v>Solution-based licensing - # Geo-redundant Microsoft 365 seat (unlimited Acronis Hosted Cloud Storage included*)</v>
      </c>
      <c r="D26" s="693"/>
      <c r="E26" s="206"/>
      <c r="F26" s="622" t="str">
        <f>IF(AND(E26&gt;0,E4="G2"),"Not available for G2",IF(E26&gt;0,IF($D$3=1,SUMIFS('Pricelist AUD'!$G$3:$G$112,'Pricelist AUD'!$O$3:$O$112,'Solution-based'!C26),IF($D$3=2,SUMIFS('Pricelist AUD'!$H$3:$H$112,'Pricelist AUD'!$O$3:$O$112,'Solution-based'!C26),IF($D$3=3,SUMIFS('Pricelist AUD'!$I$3:$I$112,'Pricelist AUD'!$O$3:$O$112,'Solution-based'!C26),IF($D$3=4,SUMIFS('Pricelist AUD'!$J$3:$J$112,'Pricelist AUD'!$O$3:$O$112,'Solution-based'!C26),IF($D$3=5,SUMIFS('Pricelist AUD'!$K$3:$K$112,'Pricelist AUD'!$O$3:$O$112,'Solution-based'!C26),IF($D$3=6,SUMIFS('Pricelist AUD'!$L$3:$L$112,'Pricelist AUD'!$O$3:$O$112,'Solution-based'!C26),IF($D$3=7,SUMIFS('Pricelist AUD'!$M$3:$M$112,'Pricelist AUD'!$O$3:$O$112,'Solution-based'!C26),IF($D$3=8,SUMIFS('Pricelist AUD'!$N$3:$N$112,'Pricelist AUD'!$O$3:$O$112,'Solution-based'!C26),"")))))))),""))</f>
        <v/>
      </c>
      <c r="G26" s="618" t="str">
        <f t="shared" si="0"/>
        <v/>
      </c>
    </row>
    <row r="27" spans="1:10" ht="19.5" customHeight="1" thickBot="1">
      <c r="A27" s="690"/>
      <c r="B27" s="691"/>
      <c r="C27" s="327" t="str">
        <f>'Pricelist AUD'!O37</f>
        <v>Solution-based licensing - # Geo-redundant Google Workspace seat (unlimited Acronis Hosted Cloud Storage included*)</v>
      </c>
      <c r="D27" s="694"/>
      <c r="E27" s="207"/>
      <c r="F27" s="623" t="str">
        <f>IF(AND(E27&gt;0,E4="G2"),"Not available for G2",IF(E27&gt;0,IF($D$3=1,SUMIFS('Pricelist AUD'!$G$3:$G$112,'Pricelist AUD'!$O$3:$O$112,'Solution-based'!C27),IF($D$3=2,SUMIFS('Pricelist AUD'!$H$3:$H$112,'Pricelist AUD'!$O$3:$O$112,'Solution-based'!C27),IF($D$3=3,SUMIFS('Pricelist AUD'!$I$3:$I$112,'Pricelist AUD'!$O$3:$O$112,'Solution-based'!C27),IF($D$3=4,SUMIFS('Pricelist AUD'!$J$3:$J$112,'Pricelist AUD'!$O$3:$O$112,'Solution-based'!C27),IF($D$3=5,SUMIFS('Pricelist AUD'!$K$3:$K$112,'Pricelist AUD'!$O$3:$O$112,'Solution-based'!C27),IF($D$3=6,SUMIFS('Pricelist AUD'!$L$3:$L$112,'Pricelist AUD'!$O$3:$O$112,'Solution-based'!C27),IF($D$3=7,SUMIFS('Pricelist AUD'!$M$3:$M$112,'Pricelist AUD'!$O$3:$O$112,'Solution-based'!C27),IF($D$3=8,SUMIFS('Pricelist AUD'!$N$3:$N$112,'Pricelist AUD'!$O$3:$O$112,'Solution-based'!C27),"")))))))),""))</f>
        <v/>
      </c>
      <c r="G27" s="619" t="str">
        <f t="shared" si="0"/>
        <v/>
      </c>
    </row>
    <row r="28" spans="1:10" ht="19.5" customHeight="1">
      <c r="A28" s="661" t="s">
        <v>38</v>
      </c>
      <c r="B28" s="662"/>
      <c r="C28" s="325" t="str">
        <f>'Pricelist AUD'!O38</f>
        <v>Monthly Compute Point Consumption for BDR/Ultimate</v>
      </c>
      <c r="D28" s="659" t="s">
        <v>36</v>
      </c>
      <c r="E28" s="217" t="str">
        <f>IF('Compute points'!E13=0,"",'Compute points'!E13)</f>
        <v/>
      </c>
      <c r="F28" s="624" t="str">
        <f>IF(E28&lt;&gt;"",IF($D$3=1,SUMIFS('Pricelist AUD'!$G$3:$G$112,'Pricelist AUD'!$O$3:$O$112,'Solution-based'!C28),IF($D$3=2,SUMIFS('Pricelist AUD'!$H$3:$H$112,'Pricelist AUD'!$O$3:$O$112,'Solution-based'!C28),IF($D$3=3,SUMIFS('Pricelist AUD'!$I$3:$I$112,'Pricelist AUD'!$O$3:$O$112,'Solution-based'!C28),IF($D$3=4,SUMIFS('Pricelist AUD'!$J$3:$J$112,'Pricelist AUD'!$O$3:$O$112,'Solution-based'!C28),IF($D$3=5,SUMIFS('Pricelist AUD'!$K$3:$K$112,'Pricelist AUD'!$O$3:$O$112,'Solution-based'!C28),IF($D$3=6,SUMIFS('Pricelist AUD'!$L$3:$L$112,'Pricelist AUD'!$O$3:$O$112,'Solution-based'!C28),IF($D$3=7,SUMIFS('Pricelist AUD'!$M$3:$M$112,'Pricelist AUD'!$O$3:$O$112,'Solution-based'!C28),IF($D$3=8,SUMIFS('Pricelist AUD'!$N$3:$N$112,'Pricelist AUD'!$O$3:$O$112,'Solution-based'!C28),"")))))))),"")</f>
        <v/>
      </c>
      <c r="G28" s="620" t="str">
        <f>IFERROR(E28*F28,"")</f>
        <v/>
      </c>
    </row>
    <row r="29" spans="1:10" ht="19.5" customHeight="1" thickBot="1">
      <c r="A29" s="663"/>
      <c r="B29" s="664"/>
      <c r="C29" s="327" t="str">
        <f>'Pricelist AUD'!O39</f>
        <v>Public IPs for BDR/Ultimate</v>
      </c>
      <c r="D29" s="660"/>
      <c r="E29" s="207"/>
      <c r="F29" s="619" t="str">
        <f>IF(E29&gt;0,IF($D$3=1,SUMIFS('Pricelist AUD'!$G$3:$G$112,'Pricelist AUD'!$O$3:$O$112,'Solution-based'!C29),IF($D$3=2,SUMIFS('Pricelist AUD'!$H$3:$H$112,'Pricelist AUD'!$O$3:$O$112,'Solution-based'!C29),IF($D$3=3,SUMIFS('Pricelist AUD'!$I$3:$I$112,'Pricelist AUD'!$O$3:$O$112,'Solution-based'!C29),IF($D$3=4,SUMIFS('Pricelist AUD'!$J$3:$J$112,'Pricelist AUD'!$O$3:$O$112,'Solution-based'!C29),IF($D$3=5,SUMIFS('Pricelist AUD'!$K$3:$K$112,'Pricelist AUD'!$O$3:$O$112,'Solution-based'!C29),IF($D$3=6,SUMIFS('Pricelist AUD'!$L$3:$L$112,'Pricelist AUD'!$O$3:$O$112,'Solution-based'!C29),IF($D$3=7,SUMIFS('Pricelist AUD'!$M$3:$M$112,'Pricelist AUD'!$O$3:$O$112,'Solution-based'!C29),IF($D$3=8,SUMIFS('Pricelist AUD'!$N$3:$N$112,'Pricelist AUD'!$O$3:$O$112,'Solution-based'!C29),"")))))))),"")</f>
        <v/>
      </c>
      <c r="G29" s="621" t="str">
        <f>IFERROR(E29*F29,"")</f>
        <v/>
      </c>
    </row>
    <row r="30" spans="1:10" ht="20.100000000000001" customHeight="1">
      <c r="A30" s="20"/>
      <c r="B30" s="20"/>
      <c r="C30" s="18"/>
      <c r="D30" s="18"/>
      <c r="E30" s="204" t="s">
        <v>39</v>
      </c>
      <c r="F30" s="117"/>
      <c r="G30" s="591">
        <f>SUM(G6:G29)</f>
        <v>0</v>
      </c>
    </row>
    <row r="31" spans="1:10" ht="20.100000000000001" customHeight="1">
      <c r="A31" s="20"/>
      <c r="B31" s="20"/>
      <c r="C31" s="18"/>
      <c r="D31" s="18"/>
      <c r="E31" s="204" t="s">
        <v>40</v>
      </c>
      <c r="F31" s="117"/>
      <c r="G31" s="591">
        <f>'Service-based'!G65</f>
        <v>0</v>
      </c>
    </row>
    <row r="32" spans="1:10" ht="20.100000000000001" customHeight="1">
      <c r="A32" s="20"/>
      <c r="B32" s="20"/>
      <c r="C32" s="18"/>
      <c r="D32" s="18"/>
      <c r="E32" s="204" t="s">
        <v>41</v>
      </c>
      <c r="F32" s="117"/>
      <c r="G32" s="591">
        <f>SUM(G30:G31)</f>
        <v>0</v>
      </c>
      <c r="J32" s="137"/>
    </row>
    <row r="33" spans="1:10" ht="24" customHeight="1">
      <c r="A33" s="8"/>
      <c r="B33" s="8"/>
      <c r="C33" s="8"/>
      <c r="D33" s="8"/>
      <c r="E33" s="39" t="s">
        <v>42</v>
      </c>
      <c r="F33" s="118"/>
      <c r="G33" s="592">
        <f>IF((G32)&gt;E3,(G32),E3)</f>
        <v>350</v>
      </c>
      <c r="J33" s="137"/>
    </row>
    <row r="34" spans="1:10" ht="24" customHeight="1">
      <c r="A34" s="8"/>
      <c r="B34" s="8"/>
      <c r="C34" s="8"/>
      <c r="D34" s="8"/>
      <c r="E34" s="39" t="s">
        <v>43</v>
      </c>
      <c r="F34" s="118"/>
      <c r="G34" s="592">
        <f>G33*12</f>
        <v>4200</v>
      </c>
      <c r="J34" s="137"/>
    </row>
    <row r="35" spans="1:10" ht="14.1" customHeight="1">
      <c r="A35" s="324"/>
      <c r="B35" s="324"/>
      <c r="C35" s="324"/>
      <c r="D35" s="324"/>
      <c r="E35" s="324"/>
      <c r="F35" s="324"/>
      <c r="G35" s="324"/>
    </row>
    <row r="36" spans="1:10" ht="14.1" customHeight="1">
      <c r="A36" s="324"/>
      <c r="B36" s="324"/>
      <c r="C36" s="324"/>
      <c r="D36" s="324"/>
      <c r="E36" s="324"/>
      <c r="F36" s="324"/>
      <c r="G36" s="324"/>
    </row>
    <row r="37" spans="1:10" ht="14.1" customHeight="1">
      <c r="A37" s="324"/>
      <c r="B37" s="324"/>
      <c r="C37" s="324"/>
      <c r="D37" s="324"/>
      <c r="E37" s="324"/>
      <c r="F37" s="324"/>
      <c r="G37" s="324"/>
    </row>
    <row r="38" spans="1:10" ht="14.1" customHeight="1">
      <c r="A38" s="324"/>
      <c r="B38" s="324"/>
      <c r="C38" s="324"/>
      <c r="D38" s="324"/>
      <c r="E38" s="324"/>
      <c r="F38" s="324"/>
      <c r="G38" s="324"/>
    </row>
    <row r="39" spans="1:10" ht="14.1" customHeight="1">
      <c r="A39" s="324"/>
      <c r="B39" s="324"/>
      <c r="C39" s="324"/>
      <c r="D39" s="324"/>
      <c r="E39" s="324"/>
      <c r="F39" s="324"/>
      <c r="G39" s="324"/>
    </row>
    <row r="40" spans="1:10" ht="14.1" customHeight="1">
      <c r="A40" s="324"/>
      <c r="B40" s="324"/>
      <c r="C40" s="324"/>
      <c r="D40" s="324"/>
      <c r="E40" s="324"/>
      <c r="F40" s="324"/>
      <c r="G40" s="324"/>
    </row>
    <row r="41" spans="1:10" ht="14.1" customHeight="1">
      <c r="A41" s="324"/>
      <c r="B41" s="324"/>
      <c r="C41" s="324"/>
      <c r="D41" s="324"/>
      <c r="E41" s="324"/>
      <c r="F41" s="324"/>
      <c r="G41" s="324"/>
    </row>
    <row r="42" spans="1:10" ht="14.1" customHeight="1">
      <c r="A42" s="324"/>
      <c r="B42" s="324"/>
      <c r="C42" s="324"/>
      <c r="D42" s="324"/>
      <c r="E42" s="324"/>
      <c r="F42" s="324"/>
      <c r="G42" s="324"/>
    </row>
    <row r="43" spans="1:10" ht="14.1" customHeight="1">
      <c r="A43" s="324"/>
      <c r="B43" s="324"/>
      <c r="C43" s="324"/>
      <c r="D43" s="324"/>
      <c r="E43" s="324"/>
      <c r="F43" s="324"/>
      <c r="G43" s="324"/>
    </row>
    <row r="44" spans="1:10" ht="14.1" customHeight="1">
      <c r="A44" s="324"/>
      <c r="B44" s="324"/>
      <c r="C44" s="324"/>
      <c r="D44" s="324"/>
      <c r="E44" s="324"/>
      <c r="F44" s="324"/>
      <c r="G44" s="324"/>
    </row>
    <row r="45" spans="1:10" ht="14.1" customHeight="1">
      <c r="A45" s="324"/>
      <c r="B45" s="324"/>
      <c r="C45" s="324"/>
      <c r="D45" s="324"/>
      <c r="E45" s="324"/>
      <c r="F45" s="324"/>
      <c r="G45" s="324"/>
    </row>
    <row r="46" spans="1:10" ht="14.1" customHeight="1">
      <c r="A46" s="324"/>
      <c r="B46" s="324"/>
      <c r="C46" s="324"/>
      <c r="D46" s="324"/>
      <c r="E46" s="324"/>
      <c r="F46" s="324"/>
      <c r="G46" s="324"/>
    </row>
    <row r="47" spans="1:10" ht="14.1" customHeight="1">
      <c r="A47" s="324"/>
      <c r="B47" s="324"/>
      <c r="C47" s="324"/>
      <c r="D47" s="324"/>
      <c r="E47" s="324"/>
      <c r="F47" s="324"/>
      <c r="G47" s="324"/>
    </row>
    <row r="48" spans="1:10" ht="14.1" customHeight="1">
      <c r="A48" s="324"/>
      <c r="B48" s="324"/>
      <c r="C48" s="324"/>
      <c r="D48" s="324"/>
      <c r="E48" s="324"/>
      <c r="F48" s="324"/>
      <c r="G48" s="324"/>
    </row>
    <row r="49" spans="1:7" ht="14.1" customHeight="1">
      <c r="A49" s="324"/>
      <c r="B49" s="324"/>
      <c r="C49" s="324"/>
      <c r="D49" s="324"/>
      <c r="E49" s="324"/>
      <c r="F49" s="324"/>
      <c r="G49" s="324"/>
    </row>
    <row r="50" spans="1:7" ht="14.1" customHeight="1">
      <c r="A50" s="324"/>
      <c r="B50" s="324"/>
      <c r="C50" s="324"/>
      <c r="D50" s="324"/>
      <c r="E50" s="324"/>
      <c r="F50" s="324"/>
      <c r="G50" s="324"/>
    </row>
    <row r="51" spans="1:7" ht="14.1" customHeight="1">
      <c r="A51" s="324"/>
      <c r="B51" s="324"/>
      <c r="C51" s="324"/>
      <c r="D51" s="324"/>
      <c r="E51" s="324"/>
      <c r="F51" s="324"/>
      <c r="G51" s="324"/>
    </row>
    <row r="52" spans="1:7" ht="14.1" customHeight="1">
      <c r="A52" s="324"/>
      <c r="B52" s="324"/>
      <c r="C52" s="324"/>
      <c r="D52" s="324"/>
      <c r="E52" s="324"/>
      <c r="F52" s="324"/>
      <c r="G52" s="324"/>
    </row>
    <row r="53" spans="1:7" ht="14.1" customHeight="1">
      <c r="A53" s="324"/>
      <c r="B53" s="324"/>
      <c r="C53" s="324"/>
      <c r="D53" s="324"/>
      <c r="E53" s="324"/>
      <c r="F53" s="324"/>
      <c r="G53" s="324"/>
    </row>
    <row r="54" spans="1:7" ht="14.1" customHeight="1">
      <c r="A54" s="324"/>
      <c r="B54" s="324"/>
      <c r="C54" s="324"/>
      <c r="D54" s="324"/>
      <c r="E54" s="324"/>
      <c r="F54" s="324"/>
      <c r="G54" s="324"/>
    </row>
    <row r="55" spans="1:7" ht="14.1" customHeight="1">
      <c r="A55" s="324"/>
      <c r="B55" s="324"/>
      <c r="C55" s="324"/>
      <c r="D55" s="324"/>
      <c r="E55" s="324"/>
      <c r="F55" s="324"/>
      <c r="G55" s="324"/>
    </row>
    <row r="56" spans="1:7" ht="14.1" customHeight="1">
      <c r="A56" s="324"/>
      <c r="B56" s="324"/>
      <c r="C56" s="324"/>
      <c r="D56" s="324"/>
      <c r="E56" s="324"/>
      <c r="F56" s="324"/>
      <c r="G56" s="324"/>
    </row>
    <row r="57" spans="1:7" ht="14.1" customHeight="1">
      <c r="A57" s="324"/>
      <c r="B57" s="324"/>
      <c r="C57" s="324"/>
      <c r="D57" s="324"/>
      <c r="E57" s="324"/>
      <c r="F57" s="324"/>
      <c r="G57" s="324"/>
    </row>
    <row r="58" spans="1:7" ht="14.1" customHeight="1">
      <c r="A58" s="324"/>
      <c r="B58" s="324"/>
      <c r="C58" s="324"/>
      <c r="D58" s="324"/>
      <c r="E58" s="324"/>
      <c r="F58" s="324"/>
      <c r="G58" s="324"/>
    </row>
    <row r="59" spans="1:7" ht="14.1" customHeight="1">
      <c r="A59" s="324"/>
      <c r="B59" s="324"/>
      <c r="C59" s="324"/>
      <c r="D59" s="324"/>
      <c r="E59" s="324"/>
      <c r="F59" s="324"/>
      <c r="G59" s="324"/>
    </row>
    <row r="60" spans="1:7" ht="14.1" customHeight="1">
      <c r="A60" s="324"/>
      <c r="B60" s="324"/>
      <c r="C60" s="324"/>
      <c r="D60" s="324"/>
      <c r="E60" s="324"/>
      <c r="F60" s="324"/>
      <c r="G60" s="324"/>
    </row>
    <row r="61" spans="1:7" ht="14.1" customHeight="1">
      <c r="A61" s="324"/>
      <c r="B61" s="324"/>
      <c r="C61" s="324"/>
      <c r="D61" s="324"/>
      <c r="E61" s="324"/>
      <c r="F61" s="324"/>
      <c r="G61" s="324"/>
    </row>
    <row r="62" spans="1:7" ht="14.1" customHeight="1">
      <c r="A62" s="324"/>
      <c r="B62" s="324"/>
      <c r="C62" s="324"/>
      <c r="D62" s="324"/>
      <c r="E62" s="324"/>
      <c r="F62" s="324"/>
      <c r="G62" s="324"/>
    </row>
    <row r="63" spans="1:7" ht="14.1" customHeight="1">
      <c r="A63" s="324"/>
      <c r="B63" s="324"/>
      <c r="C63" s="324"/>
      <c r="D63" s="324"/>
      <c r="E63" s="324"/>
      <c r="F63" s="324"/>
      <c r="G63" s="324"/>
    </row>
    <row r="64" spans="1:7" ht="14.1" customHeight="1">
      <c r="A64" s="324"/>
      <c r="B64" s="324"/>
      <c r="C64" s="324"/>
      <c r="D64" s="324"/>
      <c r="E64" s="324"/>
      <c r="F64" s="324"/>
      <c r="G64" s="324"/>
    </row>
    <row r="65" spans="1:7" ht="14.1" customHeight="1">
      <c r="A65" s="324"/>
      <c r="B65" s="324"/>
      <c r="C65" s="324"/>
      <c r="D65" s="324"/>
      <c r="E65" s="324"/>
      <c r="F65" s="324"/>
      <c r="G65" s="324"/>
    </row>
    <row r="66" spans="1:7" ht="14.1" customHeight="1">
      <c r="A66" s="324"/>
      <c r="B66" s="324"/>
      <c r="C66" s="324"/>
      <c r="D66" s="324"/>
      <c r="E66" s="324"/>
      <c r="F66" s="324"/>
      <c r="G66" s="324"/>
    </row>
    <row r="67" spans="1:7" ht="14.1" customHeight="1">
      <c r="A67" s="324"/>
      <c r="B67" s="324"/>
      <c r="C67" s="324"/>
      <c r="D67" s="324"/>
      <c r="E67" s="324"/>
      <c r="F67" s="324"/>
      <c r="G67" s="324"/>
    </row>
    <row r="68" spans="1:7" ht="14.1" customHeight="1">
      <c r="A68" s="324"/>
      <c r="B68" s="324"/>
      <c r="C68" s="324"/>
      <c r="D68" s="324"/>
      <c r="E68" s="324"/>
      <c r="F68" s="324"/>
      <c r="G68" s="324"/>
    </row>
    <row r="69" spans="1:7" ht="14.1" customHeight="1">
      <c r="A69" s="324"/>
      <c r="B69" s="324"/>
      <c r="C69" s="324"/>
      <c r="D69" s="324"/>
      <c r="E69" s="324"/>
      <c r="F69" s="324"/>
      <c r="G69" s="324"/>
    </row>
    <row r="70" spans="1:7" ht="14.1" customHeight="1">
      <c r="A70" s="324"/>
      <c r="B70" s="324"/>
      <c r="C70" s="324"/>
      <c r="D70" s="324"/>
      <c r="E70" s="324"/>
      <c r="F70" s="324"/>
      <c r="G70" s="324"/>
    </row>
    <row r="71" spans="1:7" ht="14.1" customHeight="1">
      <c r="A71" s="324"/>
      <c r="B71" s="324"/>
      <c r="C71" s="324"/>
      <c r="D71" s="324"/>
      <c r="E71" s="324"/>
      <c r="F71" s="324"/>
      <c r="G71" s="324"/>
    </row>
    <row r="72" spans="1:7" ht="14.1" customHeight="1">
      <c r="A72" s="324"/>
      <c r="B72" s="324"/>
      <c r="C72" s="324"/>
      <c r="D72" s="324"/>
      <c r="E72" s="324"/>
      <c r="F72" s="324"/>
      <c r="G72" s="324"/>
    </row>
    <row r="73" spans="1:7" ht="14.1" customHeight="1">
      <c r="A73" s="324"/>
      <c r="B73" s="324"/>
      <c r="C73" s="324"/>
      <c r="D73" s="324"/>
      <c r="E73" s="324"/>
      <c r="F73" s="324"/>
      <c r="G73" s="324"/>
    </row>
    <row r="74" spans="1:7" ht="14.1" customHeight="1">
      <c r="A74" s="324"/>
      <c r="B74" s="324"/>
      <c r="C74" s="324"/>
      <c r="D74" s="324"/>
      <c r="E74" s="324"/>
      <c r="F74" s="324"/>
      <c r="G74" s="324"/>
    </row>
    <row r="75" spans="1:7" ht="14.1" customHeight="1">
      <c r="A75" s="324"/>
      <c r="B75" s="324"/>
      <c r="C75" s="324"/>
      <c r="D75" s="324"/>
      <c r="E75" s="324"/>
      <c r="F75" s="324"/>
      <c r="G75" s="324"/>
    </row>
    <row r="76" spans="1:7" ht="14.1" customHeight="1">
      <c r="A76" s="324"/>
      <c r="B76" s="324"/>
      <c r="C76" s="324"/>
      <c r="D76" s="324"/>
      <c r="E76" s="324"/>
      <c r="F76" s="324"/>
      <c r="G76" s="324"/>
    </row>
    <row r="77" spans="1:7" ht="14.1" customHeight="1">
      <c r="A77" s="324"/>
      <c r="B77" s="324"/>
      <c r="C77" s="324"/>
      <c r="D77" s="324"/>
      <c r="E77" s="324"/>
      <c r="F77" s="324"/>
      <c r="G77" s="324"/>
    </row>
    <row r="78" spans="1:7" ht="14.1" customHeight="1">
      <c r="A78" s="324"/>
      <c r="B78" s="324"/>
      <c r="C78" s="324"/>
      <c r="D78" s="324"/>
      <c r="E78" s="324"/>
      <c r="F78" s="324"/>
      <c r="G78" s="324"/>
    </row>
    <row r="79" spans="1:7" ht="14.1" customHeight="1">
      <c r="A79" s="324"/>
      <c r="B79" s="324"/>
      <c r="C79" s="324"/>
      <c r="D79" s="324"/>
      <c r="E79" s="324"/>
      <c r="F79" s="324"/>
      <c r="G79" s="324"/>
    </row>
    <row r="80" spans="1:7" ht="14.1" customHeight="1">
      <c r="A80" s="324"/>
      <c r="B80" s="324"/>
      <c r="C80" s="324"/>
      <c r="D80" s="324"/>
      <c r="E80" s="324"/>
      <c r="F80" s="324"/>
      <c r="G80" s="324"/>
    </row>
    <row r="81" spans="1:7" ht="14.1" customHeight="1">
      <c r="A81" s="324"/>
      <c r="B81" s="324"/>
      <c r="C81" s="324"/>
      <c r="D81" s="324"/>
      <c r="E81" s="324"/>
      <c r="F81" s="324"/>
      <c r="G81" s="324"/>
    </row>
    <row r="82" spans="1:7" ht="14.1" customHeight="1">
      <c r="A82" s="324"/>
      <c r="B82" s="324"/>
      <c r="C82" s="324"/>
      <c r="D82" s="324"/>
      <c r="E82" s="324"/>
      <c r="F82" s="324"/>
      <c r="G82" s="324"/>
    </row>
    <row r="83" spans="1:7" ht="14.1" customHeight="1">
      <c r="A83" s="324"/>
      <c r="B83" s="324"/>
      <c r="C83" s="324"/>
      <c r="D83" s="324"/>
      <c r="E83" s="324"/>
      <c r="F83" s="324"/>
      <c r="G83" s="324"/>
    </row>
    <row r="84" spans="1:7" ht="14.1" customHeight="1">
      <c r="A84" s="324"/>
      <c r="B84" s="324"/>
      <c r="C84" s="324"/>
      <c r="D84" s="324"/>
      <c r="E84" s="324"/>
      <c r="F84" s="324"/>
      <c r="G84" s="324"/>
    </row>
    <row r="85" spans="1:7" ht="14.1" customHeight="1">
      <c r="A85" s="324"/>
      <c r="B85" s="324"/>
      <c r="C85" s="324"/>
      <c r="D85" s="324"/>
      <c r="E85" s="324"/>
      <c r="F85" s="324"/>
      <c r="G85" s="324"/>
    </row>
    <row r="86" spans="1:7" ht="14.1" customHeight="1">
      <c r="A86" s="324"/>
      <c r="B86" s="324"/>
      <c r="C86" s="324"/>
      <c r="D86" s="324"/>
      <c r="E86" s="324"/>
      <c r="F86" s="324"/>
      <c r="G86" s="324"/>
    </row>
    <row r="87" spans="1:7" ht="14.1" customHeight="1">
      <c r="A87" s="324"/>
      <c r="B87" s="324"/>
      <c r="C87" s="324"/>
      <c r="D87" s="324"/>
      <c r="E87" s="324"/>
      <c r="F87" s="324"/>
      <c r="G87" s="324"/>
    </row>
    <row r="88" spans="1:7" ht="14.1" customHeight="1">
      <c r="A88" s="324"/>
      <c r="B88" s="324"/>
      <c r="C88" s="324"/>
      <c r="D88" s="324"/>
      <c r="E88" s="324"/>
      <c r="F88" s="324"/>
      <c r="G88" s="324"/>
    </row>
    <row r="89" spans="1:7" ht="14.1" customHeight="1">
      <c r="A89" s="324"/>
      <c r="B89" s="324"/>
      <c r="C89" s="324"/>
      <c r="D89" s="324"/>
      <c r="E89" s="324"/>
      <c r="F89" s="324"/>
      <c r="G89" s="324"/>
    </row>
    <row r="90" spans="1:7" ht="14.1" customHeight="1">
      <c r="A90" s="324"/>
      <c r="B90" s="324"/>
      <c r="C90" s="324"/>
      <c r="D90" s="324"/>
      <c r="E90" s="324"/>
      <c r="F90" s="324"/>
      <c r="G90" s="324"/>
    </row>
    <row r="91" spans="1:7" ht="14.1" customHeight="1">
      <c r="A91" s="324"/>
      <c r="B91" s="324"/>
      <c r="C91" s="324"/>
      <c r="D91" s="324"/>
      <c r="E91" s="324"/>
      <c r="F91" s="324"/>
      <c r="G91" s="324"/>
    </row>
    <row r="92" spans="1:7" ht="14.1" customHeight="1">
      <c r="A92" s="324"/>
      <c r="B92" s="324"/>
      <c r="C92" s="324"/>
      <c r="D92" s="324"/>
      <c r="E92" s="324"/>
      <c r="F92" s="324"/>
      <c r="G92" s="324"/>
    </row>
    <row r="93" spans="1:7" ht="14.1" customHeight="1">
      <c r="A93" s="324"/>
      <c r="B93" s="324"/>
      <c r="C93" s="324"/>
      <c r="D93" s="324"/>
      <c r="E93" s="324"/>
      <c r="F93" s="324"/>
      <c r="G93" s="324"/>
    </row>
    <row r="94" spans="1:7" ht="14.1" customHeight="1">
      <c r="A94" s="324"/>
      <c r="B94" s="324"/>
      <c r="C94" s="324"/>
      <c r="D94" s="324"/>
      <c r="E94" s="324"/>
      <c r="F94" s="324"/>
      <c r="G94" s="324"/>
    </row>
  </sheetData>
  <sheetProtection algorithmName="SHA-512" hashValue="Qmsb+RYaFGmoiP+ndUA3Ni+/hc07GA5vBcRgxTv1/SPIKKM0vmOKyVRvYz9nRAXb+4QmV0hXoFw7SjwLLr7cXA==" saltValue="JOJvlpXnEyo8KWUUq8RyQw==" spinCount="100000" sheet="1" objects="1" scenarios="1"/>
  <mergeCells count="22">
    <mergeCell ref="A3:C3"/>
    <mergeCell ref="F3:G3"/>
    <mergeCell ref="A4:C4"/>
    <mergeCell ref="F4:G4"/>
    <mergeCell ref="E1:G1"/>
    <mergeCell ref="E2:G2"/>
    <mergeCell ref="A5:C5"/>
    <mergeCell ref="A2:C2"/>
    <mergeCell ref="D28:D29"/>
    <mergeCell ref="A28:B29"/>
    <mergeCell ref="A6:B8"/>
    <mergeCell ref="A9:B15"/>
    <mergeCell ref="A16:B20"/>
    <mergeCell ref="A21:B22"/>
    <mergeCell ref="A23:B23"/>
    <mergeCell ref="A24:B24"/>
    <mergeCell ref="D6:D8"/>
    <mergeCell ref="D9:D15"/>
    <mergeCell ref="D16:D20"/>
    <mergeCell ref="A25:B27"/>
    <mergeCell ref="D25:D27"/>
    <mergeCell ref="D21:D22"/>
  </mergeCells>
  <conditionalFormatting sqref="G33:G34">
    <cfRule type="expression" dxfId="7" priority="2">
      <formula>AND(#REF!&lt;#REF!,(SUM(#REF!)*#REF!&gt;0))</formula>
    </cfRule>
  </conditionalFormatting>
  <conditionalFormatting sqref="F33:F34">
    <cfRule type="expression" dxfId="6" priority="1">
      <formula>AND(#REF!&lt;#REF!,(SUM(#REF!)*#REF!&gt;0))</formula>
    </cfRule>
  </conditionalFormatting>
  <hyperlinks>
    <hyperlink ref="A25:B27" location="'Cloud DCs'!A1" display="Geo-replication" xr:uid="{BA90CDA7-A245-4448-8935-D10BFEAE9CEA}"/>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DCEE1A3-65D3-4AED-939D-07A9715AF00E}">
          <x14:formula1>
            <xm:f>'Cloud DCs'!$G$2:$G$3</xm:f>
          </x14:formula1>
          <xm:sqref>E4</xm:sqref>
        </x14:dataValidation>
        <x14:dataValidation type="list" allowBlank="1" showInputMessage="1" showErrorMessage="1" xr:uid="{DA629D3E-30CA-498F-994D-0CD04C11BAF0}">
          <x14:formula1>
            <xm:f>'Pricelist AUD'!$G$2:$N$2</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882"/>
    <pageSetUpPr autoPageBreaks="0"/>
  </sheetPr>
  <dimension ref="A1:XFC93"/>
  <sheetViews>
    <sheetView zoomScale="80" zoomScaleNormal="80" workbookViewId="0">
      <selection activeCell="E3" sqref="E3"/>
    </sheetView>
  </sheetViews>
  <sheetFormatPr defaultColWidth="0" defaultRowHeight="14.1" zeroHeight="1"/>
  <cols>
    <col min="1" max="1" width="23.42578125" style="6" customWidth="1"/>
    <col min="2" max="2" width="22.85546875" style="6" customWidth="1"/>
    <col min="3" max="3" width="112.5703125" style="6" customWidth="1"/>
    <col min="4" max="4" width="20.42578125" style="6" customWidth="1"/>
    <col min="5" max="5" width="16.42578125" style="6" customWidth="1"/>
    <col min="6" max="6" width="29.140625" style="6" customWidth="1"/>
    <col min="7" max="7" width="29.7109375" style="6" customWidth="1"/>
    <col min="8" max="8" width="8.85546875" style="6" hidden="1" customWidth="1"/>
    <col min="9" max="12" width="9.42578125" style="6" hidden="1" customWidth="1"/>
    <col min="13" max="16383" width="8.85546875" style="6" hidden="1"/>
    <col min="16384" max="16384" width="2.85546875" style="6" hidden="1" customWidth="1"/>
  </cols>
  <sheetData>
    <row r="1" spans="1:10" ht="83.45" customHeight="1">
      <c r="A1" s="353"/>
      <c r="B1" s="354"/>
      <c r="C1" s="354"/>
      <c r="D1" s="354"/>
      <c r="E1" s="707"/>
      <c r="F1" s="707"/>
      <c r="G1" s="707"/>
    </row>
    <row r="2" spans="1:10" ht="50.1" customHeight="1" thickBot="1">
      <c r="A2" s="657" t="s">
        <v>44</v>
      </c>
      <c r="B2" s="658"/>
      <c r="C2" s="658"/>
      <c r="D2" s="355"/>
      <c r="E2" s="709" t="str">
        <f>IF(E3&lt;&gt;'Solution-based'!E3,"Monthly minimum commitment inconsistency. Select the same commitment for both licensing options","")</f>
        <v/>
      </c>
      <c r="F2" s="709"/>
      <c r="G2" s="710"/>
    </row>
    <row r="3" spans="1:10" ht="22.35" customHeight="1" thickBot="1">
      <c r="A3" s="697" t="s">
        <v>1</v>
      </c>
      <c r="B3" s="698"/>
      <c r="C3" s="699"/>
      <c r="D3" s="346">
        <f>SUMIFS('Pricelist AUD'!G118:N118,'Pricelist AUD'!G119:N119,'Service-based'!E3)</f>
        <v>1</v>
      </c>
      <c r="E3" s="593">
        <v>350</v>
      </c>
      <c r="F3" s="700" t="str">
        <f>IF(D3=1,IF(G68&gt;'Calculator +1 tier'!F91,"Recommended to switch to higher commitment",""),IF(AND(D3=8,'Calculator -1 tier'!F90&gt;'Pricelist AUD'!N2),"",IF('Service-based'!G68&gt;'Calculator -1 tier'!F91,"Recommended to switch to lower commitment",IF('Service-based'!G68&gt;'Calculator +1 tier'!F91,"Recommended to switch to higher commitment",""))))</f>
        <v/>
      </c>
      <c r="G3" s="701"/>
    </row>
    <row r="4" spans="1:10" ht="24.6" customHeight="1">
      <c r="A4" s="702" t="s">
        <v>2</v>
      </c>
      <c r="B4" s="703"/>
      <c r="C4" s="704"/>
      <c r="D4" s="285"/>
      <c r="E4" s="286" t="s">
        <v>3</v>
      </c>
      <c r="F4" s="705" t="str">
        <f>IF(E4&lt;&gt;'Solution-based'!E4,"Select the same DC group for both licensing options","")</f>
        <v/>
      </c>
      <c r="G4" s="706"/>
    </row>
    <row r="5" spans="1:10" ht="30.95" customHeight="1" thickBot="1">
      <c r="A5" s="769" t="s">
        <v>45</v>
      </c>
      <c r="B5" s="770"/>
      <c r="C5" s="771"/>
      <c r="D5" s="14" t="s">
        <v>5</v>
      </c>
      <c r="E5" s="300" t="s">
        <v>6</v>
      </c>
      <c r="F5" s="13" t="s">
        <v>7</v>
      </c>
      <c r="G5" s="301" t="s">
        <v>8</v>
      </c>
    </row>
    <row r="6" spans="1:10" ht="19.5" customHeight="1">
      <c r="A6" s="711" t="s">
        <v>46</v>
      </c>
      <c r="B6" s="712"/>
      <c r="C6" s="226" t="s">
        <v>47</v>
      </c>
      <c r="D6" s="738" t="s">
        <v>11</v>
      </c>
      <c r="E6" s="208"/>
      <c r="F6" s="564" t="str">
        <f>IF(E6&gt;0,IF($D$3=1,SUMIFS('Pricelist AUD'!$G$41:$G$112,'Pricelist AUD'!$O$41:$O$112,'Service-based'!$C6),IF($D$3=2,SUMIFS('Pricelist AUD'!$H$41:$H$112,'Pricelist AUD'!$O$41:$O$112,'Service-based'!$C6),IF($D$3=3,SUMIFS('Pricelist AUD'!$I$41:$I$112,'Pricelist AUD'!$O$41:$O$112,'Service-based'!$C6),IF($D$3=4,SUMIFS('Pricelist AUD'!$J$41:$J$112,'Pricelist AUD'!$O$41:$O$112,'Service-based'!$C6),IF($D$3=5,SUMIFS('Pricelist AUD'!$K$41:$K$112,'Pricelist AUD'!$O$41:$O$112,'Service-based'!$C6),IF($D$3=6,SUMIFS('Pricelist AUD'!$L$41:$L$112,'Pricelist AUD'!$O$41:$O$112,'Service-based'!$C6),IF($D$3=7,SUMIFS('Pricelist AUD'!$M$41:$M$112,'Pricelist AUD'!$O$41:$O$112,'Service-based'!$C6),IF($D$3=8,SUMIFS('Pricelist AUD'!$N$41:$N$112,'Pricelist AUD'!$O$41:$O$112,'Service-based'!$C6),"")))))))),"")</f>
        <v/>
      </c>
      <c r="G6" s="564" t="str">
        <f t="shared" ref="G6:G55" si="0">IFERROR(E6*F6,"")</f>
        <v/>
      </c>
      <c r="I6" s="137"/>
      <c r="J6" s="137"/>
    </row>
    <row r="7" spans="1:10" ht="19.7" customHeight="1">
      <c r="A7" s="713"/>
      <c r="B7" s="714"/>
      <c r="C7" s="304" t="s">
        <v>48</v>
      </c>
      <c r="D7" s="739"/>
      <c r="E7" s="210"/>
      <c r="F7" s="565" t="str">
        <f>IF(E7&gt;0,IF($D$3=1,SUMIFS('Pricelist AUD'!$G$41:$G$112,'Pricelist AUD'!$O$41:$O$112,'Service-based'!$C7),IF($D$3=2,SUMIFS('Pricelist AUD'!$H$41:$H$112,'Pricelist AUD'!$O$41:$O$112,'Service-based'!$C7),IF($D$3=3,SUMIFS('Pricelist AUD'!$I$41:$I$112,'Pricelist AUD'!$O$41:$O$112,'Service-based'!$C7),IF($D$3=4,SUMIFS('Pricelist AUD'!$J$41:$J$112,'Pricelist AUD'!$O$41:$O$112,'Service-based'!$C7),IF($D$3=5,SUMIFS('Pricelist AUD'!$K$41:$K$112,'Pricelist AUD'!$O$41:$O$112,'Service-based'!$C7),IF($D$3=6,SUMIFS('Pricelist AUD'!$L$41:$L$112,'Pricelist AUD'!$O$41:$O$112,'Service-based'!$C7),IF($D$3=7,SUMIFS('Pricelist AUD'!$M$41:$M$112,'Pricelist AUD'!$O$41:$O$112,'Service-based'!$C7),IF($D$3=8,SUMIFS('Pricelist AUD'!$N$41:$N$112,'Pricelist AUD'!$O$41:$O$112,'Service-based'!$C7),"")))))))),"")</f>
        <v/>
      </c>
      <c r="G7" s="565" t="str">
        <f t="shared" si="0"/>
        <v/>
      </c>
      <c r="I7" s="137"/>
      <c r="J7" s="137"/>
    </row>
    <row r="8" spans="1:10" ht="19.7" customHeight="1">
      <c r="A8" s="713"/>
      <c r="B8" s="714"/>
      <c r="C8" s="331" t="s">
        <v>49</v>
      </c>
      <c r="D8" s="775" t="s">
        <v>50</v>
      </c>
      <c r="E8" s="206"/>
      <c r="F8" s="566" t="str">
        <f>IF(E8&gt;0,IF($D$3=1,SUMIFS('Pricelist AUD'!$G$41:$G$112,'Pricelist AUD'!$O$41:$O$112,'Service-based'!$C8),IF($D$3=2,SUMIFS('Pricelist AUD'!$H$41:$H$112,'Pricelist AUD'!$O$41:$O$112,'Service-based'!$C8),IF($D$3=3,SUMIFS('Pricelist AUD'!$I$41:$I$112,'Pricelist AUD'!$O$41:$O$112,'Service-based'!$C8),IF($D$3=4,SUMIFS('Pricelist AUD'!$J$41:$J$112,'Pricelist AUD'!$O$41:$O$112,'Service-based'!$C8),IF($D$3=5,SUMIFS('Pricelist AUD'!$K$41:$K$112,'Pricelist AUD'!$O$41:$O$112,'Service-based'!$C8),IF($D$3=6,SUMIFS('Pricelist AUD'!$L$41:$L$112,'Pricelist AUD'!$O$41:$O$112,'Service-based'!$C8),IF($D$3=7,SUMIFS('Pricelist AUD'!$M$41:$M$112,'Pricelist AUD'!$O$41:$O$112,'Service-based'!$C8),IF($D$3=8,SUMIFS('Pricelist AUD'!$N$41:$N$112,'Pricelist AUD'!$O$41:$O$112,'Service-based'!$C8),"")))))))),"")</f>
        <v/>
      </c>
      <c r="G8" s="566" t="str">
        <f t="shared" si="0"/>
        <v/>
      </c>
      <c r="I8" s="137"/>
      <c r="J8" s="137"/>
    </row>
    <row r="9" spans="1:10" ht="19.7" customHeight="1">
      <c r="A9" s="713"/>
      <c r="B9" s="714"/>
      <c r="C9" s="282" t="s">
        <v>51</v>
      </c>
      <c r="D9" s="775"/>
      <c r="E9" s="210"/>
      <c r="F9" s="565" t="str">
        <f>IF(E9&gt;0,IF($D$3=1,SUMIFS('Pricelist AUD'!$G$41:$G$112,'Pricelist AUD'!$O$41:$O$112,'Service-based'!$C9),IF($D$3=2,SUMIFS('Pricelist AUD'!$H$41:$H$112,'Pricelist AUD'!$O$41:$O$112,'Service-based'!$C9),IF($D$3=3,SUMIFS('Pricelist AUD'!$I$41:$I$112,'Pricelist AUD'!$O$41:$O$112,'Service-based'!$C9),IF($D$3=4,SUMIFS('Pricelist AUD'!$J$41:$J$112,'Pricelist AUD'!$O$41:$O$112,'Service-based'!$C9),IF($D$3=5,SUMIFS('Pricelist AUD'!$K$41:$K$112,'Pricelist AUD'!$O$41:$O$112,'Service-based'!$C9),IF($D$3=6,SUMIFS('Pricelist AUD'!$L$41:$L$112,'Pricelist AUD'!$O$41:$O$112,'Service-based'!$C9),IF($D$3=7,SUMIFS('Pricelist AUD'!$M$41:$M$112,'Pricelist AUD'!$O$41:$O$112,'Service-based'!$C9),IF($D$3=8,SUMIFS('Pricelist AUD'!$N$41:$N$112,'Pricelist AUD'!$O$41:$O$112,'Service-based'!$C9),"")))))))),"")</f>
        <v/>
      </c>
      <c r="G9" s="565" t="str">
        <f t="shared" si="0"/>
        <v/>
      </c>
      <c r="I9" s="137"/>
      <c r="J9" s="137"/>
    </row>
    <row r="10" spans="1:10" ht="19.7" customHeight="1" thickBot="1">
      <c r="A10" s="715"/>
      <c r="B10" s="716"/>
      <c r="C10" s="332" t="s">
        <v>52</v>
      </c>
      <c r="D10" s="205" t="s">
        <v>11</v>
      </c>
      <c r="E10" s="209"/>
      <c r="F10" s="567" t="str">
        <f>IF(E10&gt;0,IF($D$3=1,SUMIFS('Pricelist AUD'!$G$41:$G$112,'Pricelist AUD'!$O$41:$O$112,'Service-based'!$C10),IF($D$3=2,SUMIFS('Pricelist AUD'!$H$41:$H$112,'Pricelist AUD'!$O$41:$O$112,'Service-based'!$C10),IF($D$3=3,SUMIFS('Pricelist AUD'!$I$41:$I$112,'Pricelist AUD'!$O$41:$O$112,'Service-based'!$C10),IF($D$3=4,SUMIFS('Pricelist AUD'!$J$41:$J$112,'Pricelist AUD'!$O$41:$O$112,'Service-based'!$C10),IF($D$3=5,SUMIFS('Pricelist AUD'!$K$41:$K$112,'Pricelist AUD'!$O$41:$O$112,'Service-based'!$C10),IF($D$3=6,SUMIFS('Pricelist AUD'!$L$41:$L$112,'Pricelist AUD'!$O$41:$O$112,'Service-based'!$C10),IF($D$3=7,SUMIFS('Pricelist AUD'!$M$41:$M$112,'Pricelist AUD'!$O$41:$O$112,'Service-based'!$C10),IF($D$3=8,SUMIFS('Pricelist AUD'!$N$41:$N$112,'Pricelist AUD'!$O$41:$O$112,'Service-based'!$C10),"")))))))),"")</f>
        <v/>
      </c>
      <c r="G10" s="567" t="str">
        <f>IFERROR(E10*F10,"")</f>
        <v/>
      </c>
      <c r="I10" s="137"/>
      <c r="J10" s="137"/>
    </row>
    <row r="11" spans="1:10" ht="19.7" customHeight="1">
      <c r="A11" s="733" t="s">
        <v>53</v>
      </c>
      <c r="B11" s="734"/>
      <c r="C11" s="336" t="s">
        <v>54</v>
      </c>
      <c r="D11" s="778" t="s">
        <v>11</v>
      </c>
      <c r="E11" s="211"/>
      <c r="F11" s="568" t="str">
        <f>IF(E11&gt;0,IF($D$3=1,SUMIFS('Pricelist AUD'!$G$41:$G$112,'Pricelist AUD'!$O$41:$O$112,'Service-based'!$C11),IF($D$3=2,SUMIFS('Pricelist AUD'!$H$41:$H$112,'Pricelist AUD'!$O$41:$O$112,'Service-based'!$C11),IF($D$3=3,SUMIFS('Pricelist AUD'!$I$41:$I$112,'Pricelist AUD'!$O$41:$O$112,'Service-based'!$C11),IF($D$3=4,SUMIFS('Pricelist AUD'!$J$41:$J$112,'Pricelist AUD'!$O$41:$O$112,'Service-based'!$C11),IF($D$3=5,SUMIFS('Pricelist AUD'!$K$41:$K$112,'Pricelist AUD'!$O$41:$O$112,'Service-based'!$C11),IF($D$3=6,SUMIFS('Pricelist AUD'!$L$41:$L$112,'Pricelist AUD'!$O$41:$O$112,'Service-based'!$C11),IF($D$3=7,SUMIFS('Pricelist AUD'!$M$41:$M$112,'Pricelist AUD'!$O$41:$O$112,'Service-based'!$C11),IF($D$3=8,SUMIFS('Pricelist AUD'!$N$41:$N$112,'Pricelist AUD'!$O$41:$O$112,'Service-based'!$C11),"")))))))),"")</f>
        <v/>
      </c>
      <c r="G11" s="568" t="str">
        <f t="shared" si="0"/>
        <v/>
      </c>
      <c r="I11" s="137"/>
      <c r="J11" s="137"/>
    </row>
    <row r="12" spans="1:10" ht="19.7" customHeight="1">
      <c r="A12" s="713"/>
      <c r="B12" s="714"/>
      <c r="C12" s="334" t="s">
        <v>55</v>
      </c>
      <c r="D12" s="775"/>
      <c r="E12" s="206"/>
      <c r="F12" s="569" t="str">
        <f>IF(E12&gt;0,IF($D$3=1,SUMIFS('Pricelist AUD'!$G$41:$G$112,'Pricelist AUD'!$O$41:$O$112,'Service-based'!$C12),IF($D$3=2,SUMIFS('Pricelist AUD'!$H$41:$H$112,'Pricelist AUD'!$O$41:$O$112,'Service-based'!$C12),IF($D$3=3,SUMIFS('Pricelist AUD'!$I$41:$I$112,'Pricelist AUD'!$O$41:$O$112,'Service-based'!$C12),IF($D$3=4,SUMIFS('Pricelist AUD'!$J$41:$J$112,'Pricelist AUD'!$O$41:$O$112,'Service-based'!$C12),IF($D$3=5,SUMIFS('Pricelist AUD'!$K$41:$K$112,'Pricelist AUD'!$O$41:$O$112,'Service-based'!$C12),IF($D$3=6,SUMIFS('Pricelist AUD'!$L$41:$L$112,'Pricelist AUD'!$O$41:$O$112,'Service-based'!$C12),IF($D$3=7,SUMIFS('Pricelist AUD'!$M$41:$M$112,'Pricelist AUD'!$O$41:$O$112,'Service-based'!$C12),IF($D$3=8,SUMIFS('Pricelist AUD'!$N$41:$N$112,'Pricelist AUD'!$O$41:$O$112,'Service-based'!$C12),"")))))))),"")</f>
        <v/>
      </c>
      <c r="G12" s="569" t="str">
        <f t="shared" si="0"/>
        <v/>
      </c>
      <c r="I12" s="137"/>
      <c r="J12" s="137"/>
    </row>
    <row r="13" spans="1:10" ht="19.7" customHeight="1" thickBot="1">
      <c r="A13" s="715"/>
      <c r="B13" s="716"/>
      <c r="C13" s="327" t="s">
        <v>56</v>
      </c>
      <c r="D13" s="779"/>
      <c r="E13" s="207"/>
      <c r="F13" s="570" t="str">
        <f>IF(E13&gt;0,IF($D$3=1,SUMIFS('Pricelist AUD'!$G$41:$G$112,'Pricelist AUD'!$O$41:$O$112,'Service-based'!$C13),IF($D$3=2,SUMIFS('Pricelist AUD'!$H$41:$H$112,'Pricelist AUD'!$O$41:$O$112,'Service-based'!$C13),IF($D$3=3,SUMIFS('Pricelist AUD'!$I$41:$I$112,'Pricelist AUD'!$O$41:$O$112,'Service-based'!$C13),IF($D$3=4,SUMIFS('Pricelist AUD'!$J$41:$J$112,'Pricelist AUD'!$O$41:$O$112,'Service-based'!$C13),IF($D$3=5,SUMIFS('Pricelist AUD'!$K$41:$K$112,'Pricelist AUD'!$O$41:$O$112,'Service-based'!$C13),IF($D$3=6,SUMIFS('Pricelist AUD'!$L$41:$L$112,'Pricelist AUD'!$O$41:$O$112,'Service-based'!$C13),IF($D$3=7,SUMIFS('Pricelist AUD'!$M$41:$M$112,'Pricelist AUD'!$O$41:$O$112,'Service-based'!$C13),IF($D$3=8,SUMIFS('Pricelist AUD'!$N$41:$N$112,'Pricelist AUD'!$O$41:$O$112,'Service-based'!$C13),"")))))))),"")</f>
        <v/>
      </c>
      <c r="G13" s="570" t="str">
        <f>IFERROR(E13*F13,"")</f>
        <v/>
      </c>
      <c r="I13" s="137"/>
      <c r="J13" s="137"/>
    </row>
    <row r="14" spans="1:10" ht="19.7" customHeight="1" thickBot="1">
      <c r="A14" s="731" t="s">
        <v>32</v>
      </c>
      <c r="B14" s="732"/>
      <c r="C14" s="224" t="s">
        <v>57</v>
      </c>
      <c r="D14" s="335" t="s">
        <v>11</v>
      </c>
      <c r="E14" s="209"/>
      <c r="F14" s="567" t="str">
        <f>IF(E14&gt;0,IF($D$3=1,SUMIFS('Pricelist AUD'!$G$41:$G$112,'Pricelist AUD'!$O$41:$O$112,'Service-based'!$C14),IF($D$3=2,SUMIFS('Pricelist AUD'!$H$41:$H$112,'Pricelist AUD'!$O$41:$O$112,'Service-based'!$C14),IF($D$3=3,SUMIFS('Pricelist AUD'!$I$41:$I$112,'Pricelist AUD'!$O$41:$O$112,'Service-based'!$C14),IF($D$3=4,SUMIFS('Pricelist AUD'!$J$41:$J$112,'Pricelist AUD'!$O$41:$O$112,'Service-based'!$C14),IF($D$3=5,SUMIFS('Pricelist AUD'!$K$41:$K$112,'Pricelist AUD'!$O$41:$O$112,'Service-based'!$C14),IF($D$3=6,SUMIFS('Pricelist AUD'!$L$41:$L$112,'Pricelist AUD'!$O$41:$O$112,'Service-based'!$C14),IF($D$3=7,SUMIFS('Pricelist AUD'!$M$41:$M$112,'Pricelist AUD'!$O$41:$O$112,'Service-based'!$C14),IF($D$3=8,SUMIFS('Pricelist AUD'!$N$41:$N$112,'Pricelist AUD'!$O$41:$O$112,'Service-based'!$C14),"")))))))),"")</f>
        <v/>
      </c>
      <c r="G14" s="567" t="str">
        <f t="shared" si="0"/>
        <v/>
      </c>
      <c r="I14" s="137"/>
      <c r="J14" s="137"/>
    </row>
    <row r="15" spans="1:10" ht="19.7" customHeight="1" thickBot="1">
      <c r="A15" s="733" t="s">
        <v>58</v>
      </c>
      <c r="B15" s="734"/>
      <c r="C15" s="333" t="s">
        <v>59</v>
      </c>
      <c r="D15" s="330" t="s">
        <v>11</v>
      </c>
      <c r="E15" s="314"/>
      <c r="F15" s="571" t="str">
        <f>IF(E15&gt;0,IF($D$3=1,SUMIFS('Pricelist AUD'!$G$41:$G$112,'Pricelist AUD'!$O$41:$O$112,'Service-based'!$C15),IF($D$3=2,SUMIFS('Pricelist AUD'!$H$41:$H$112,'Pricelist AUD'!$O$41:$O$112,'Service-based'!$C15),IF($D$3=3,SUMIFS('Pricelist AUD'!$I$41:$I$112,'Pricelist AUD'!$O$41:$O$112,'Service-based'!$C15),IF($D$3=4,SUMIFS('Pricelist AUD'!$J$41:$J$112,'Pricelist AUD'!$O$41:$O$112,'Service-based'!$C15),IF($D$3=5,SUMIFS('Pricelist AUD'!$K$41:$K$112,'Pricelist AUD'!$O$41:$O$112,'Service-based'!$C15),IF($D$3=6,SUMIFS('Pricelist AUD'!$L$41:$L$112,'Pricelist AUD'!$O$41:$O$112,'Service-based'!$C15),IF($D$3=7,SUMIFS('Pricelist AUD'!$M$41:$M$112,'Pricelist AUD'!$O$41:$O$112,'Service-based'!$C15),IF($D$3=8,SUMIFS('Pricelist AUD'!$N$41:$N$112,'Pricelist AUD'!$O$41:$O$112,'Service-based'!$C15),"")))))))),"")</f>
        <v/>
      </c>
      <c r="G15" s="571" t="str">
        <f t="shared" si="0"/>
        <v/>
      </c>
      <c r="I15" s="137"/>
      <c r="J15" s="137"/>
    </row>
    <row r="16" spans="1:10" ht="19.7" customHeight="1" thickBot="1">
      <c r="A16" s="776" t="s">
        <v>60</v>
      </c>
      <c r="B16" s="777"/>
      <c r="C16" s="228" t="s">
        <v>61</v>
      </c>
      <c r="D16" s="205" t="s">
        <v>11</v>
      </c>
      <c r="E16" s="209"/>
      <c r="F16" s="567" t="str">
        <f>IF(E16&gt;0,IF($D$3=1,SUMIFS('Pricelist AUD'!$G$41:$G$112,'Pricelist AUD'!$O$41:$O$112,'Service-based'!$C16),IF($D$3=2,SUMIFS('Pricelist AUD'!$H$41:$H$112,'Pricelist AUD'!$O$41:$O$112,'Service-based'!$C16),IF($D$3=3,SUMIFS('Pricelist AUD'!$I$41:$I$112,'Pricelist AUD'!$O$41:$O$112,'Service-based'!$C16),IF($D$3=4,SUMIFS('Pricelist AUD'!$J$41:$J$112,'Pricelist AUD'!$O$41:$O$112,'Service-based'!$C16),IF($D$3=5,SUMIFS('Pricelist AUD'!$K$41:$K$112,'Pricelist AUD'!$O$41:$O$112,'Service-based'!$C16),IF($D$3=6,SUMIFS('Pricelist AUD'!$L$41:$L$112,'Pricelist AUD'!$O$41:$O$112,'Service-based'!$C16),IF($D$3=7,SUMIFS('Pricelist AUD'!$M$41:$M$112,'Pricelist AUD'!$O$41:$O$112,'Service-based'!$C16),IF($D$3=8,SUMIFS('Pricelist AUD'!$N$41:$N$112,'Pricelist AUD'!$O$41:$O$112,'Service-based'!$C16),"")))))))),"")</f>
        <v/>
      </c>
      <c r="G16" s="567" t="str">
        <f t="shared" si="0"/>
        <v/>
      </c>
      <c r="I16" s="137"/>
      <c r="J16" s="137"/>
    </row>
    <row r="17" spans="1:10" ht="17.100000000000001" customHeight="1">
      <c r="A17" s="735" t="s">
        <v>62</v>
      </c>
      <c r="B17" s="772" t="s">
        <v>63</v>
      </c>
      <c r="C17" s="229" t="s">
        <v>64</v>
      </c>
      <c r="D17" s="774" t="s">
        <v>11</v>
      </c>
      <c r="E17" s="211"/>
      <c r="F17" s="572" t="str">
        <f>IF(E17&gt;0,IF($D$3=1,SUMIFS('Pricelist AUD'!$G$41:$G$112,'Pricelist AUD'!$O$41:$O$112,'Service-based'!$C17),IF($D$3=2,SUMIFS('Pricelist AUD'!$H$41:$H$112,'Pricelist AUD'!$O$41:$O$112,'Service-based'!$C17),IF($D$3=3,SUMIFS('Pricelist AUD'!$I$41:$I$112,'Pricelist AUD'!$O$41:$O$112,'Service-based'!$C17),IF($D$3=4,SUMIFS('Pricelist AUD'!$J$41:$J$112,'Pricelist AUD'!$O$41:$O$112,'Service-based'!$C17),IF($D$3=5,SUMIFS('Pricelist AUD'!$K$41:$K$112,'Pricelist AUD'!$O$41:$O$112,'Service-based'!$C17),IF($D$3=6,SUMIFS('Pricelist AUD'!$L$41:$L$112,'Pricelist AUD'!$O$41:$O$112,'Service-based'!$C17),IF($D$3=7,SUMIFS('Pricelist AUD'!$M$41:$M$112,'Pricelist AUD'!$O$41:$O$112,'Service-based'!$C17),IF($D$3=8,SUMIFS('Pricelist AUD'!$N$41:$N$112,'Pricelist AUD'!$O$41:$O$112,'Service-based'!$C17),"")))))))),"")</f>
        <v/>
      </c>
      <c r="G17" s="572" t="str">
        <f t="shared" si="0"/>
        <v/>
      </c>
      <c r="I17" s="137"/>
      <c r="J17" s="137"/>
    </row>
    <row r="18" spans="1:10" ht="17.100000000000001" customHeight="1">
      <c r="A18" s="736"/>
      <c r="B18" s="773"/>
      <c r="C18" s="230" t="s">
        <v>65</v>
      </c>
      <c r="D18" s="723"/>
      <c r="E18" s="206"/>
      <c r="F18" s="573" t="str">
        <f>IF(E18&gt;0,IF($D$3=1,SUMIFS('Pricelist AUD'!$G$41:$G$112,'Pricelist AUD'!$O$41:$O$112,'Service-based'!$C18),IF($D$3=2,SUMIFS('Pricelist AUD'!$H$41:$H$112,'Pricelist AUD'!$O$41:$O$112,'Service-based'!$C18),IF($D$3=3,SUMIFS('Pricelist AUD'!$I$41:$I$112,'Pricelist AUD'!$O$41:$O$112,'Service-based'!$C18),IF($D$3=4,SUMIFS('Pricelist AUD'!$J$41:$J$112,'Pricelist AUD'!$O$41:$O$112,'Service-based'!$C18),IF($D$3=5,SUMIFS('Pricelist AUD'!$K$41:$K$112,'Pricelist AUD'!$O$41:$O$112,'Service-based'!$C18),IF($D$3=6,SUMIFS('Pricelist AUD'!$L$41:$L$112,'Pricelist AUD'!$O$41:$O$112,'Service-based'!$C18),IF($D$3=7,SUMIFS('Pricelist AUD'!$M$41:$M$112,'Pricelist AUD'!$O$41:$O$112,'Service-based'!$C18),IF($D$3=8,SUMIFS('Pricelist AUD'!$N$41:$N$112,'Pricelist AUD'!$O$41:$O$112,'Service-based'!$C18),"")))))))),"")</f>
        <v/>
      </c>
      <c r="G18" s="573" t="str">
        <f t="shared" si="0"/>
        <v/>
      </c>
      <c r="I18" s="137"/>
      <c r="J18" s="137"/>
    </row>
    <row r="19" spans="1:10" ht="17.100000000000001" customHeight="1">
      <c r="A19" s="736"/>
      <c r="B19" s="773"/>
      <c r="C19" s="225" t="s">
        <v>66</v>
      </c>
      <c r="D19" s="723"/>
      <c r="E19" s="210"/>
      <c r="F19" s="574" t="str">
        <f>IF(E19&gt;0,IF($D$3=1,SUMIFS('Pricelist AUD'!$G$41:$G$112,'Pricelist AUD'!$O$41:$O$112,'Service-based'!$C19),IF($D$3=2,SUMIFS('Pricelist AUD'!$H$41:$H$112,'Pricelist AUD'!$O$41:$O$112,'Service-based'!$C19),IF($D$3=3,SUMIFS('Pricelist AUD'!$I$41:$I$112,'Pricelist AUD'!$O$41:$O$112,'Service-based'!$C19),IF($D$3=4,SUMIFS('Pricelist AUD'!$J$41:$J$112,'Pricelist AUD'!$O$41:$O$112,'Service-based'!$C19),IF($D$3=5,SUMIFS('Pricelist AUD'!$K$41:$K$112,'Pricelist AUD'!$O$41:$O$112,'Service-based'!$C19),IF($D$3=6,SUMIFS('Pricelist AUD'!$L$41:$L$112,'Pricelist AUD'!$O$41:$O$112,'Service-based'!$C19),IF($D$3=7,SUMIFS('Pricelist AUD'!$M$41:$M$112,'Pricelist AUD'!$O$41:$O$112,'Service-based'!$C19),IF($D$3=8,SUMIFS('Pricelist AUD'!$N$41:$N$112,'Pricelist AUD'!$O$41:$O$112,'Service-based'!$C19),"")))))))),"")</f>
        <v/>
      </c>
      <c r="G19" s="574" t="str">
        <f t="shared" si="0"/>
        <v/>
      </c>
      <c r="I19" s="137"/>
      <c r="J19" s="137"/>
    </row>
    <row r="20" spans="1:10" ht="17.100000000000001" customHeight="1">
      <c r="A20" s="736"/>
      <c r="B20" s="773"/>
      <c r="C20" s="230" t="s">
        <v>67</v>
      </c>
      <c r="D20" s="723"/>
      <c r="E20" s="206"/>
      <c r="F20" s="573" t="str">
        <f>IF(E20&gt;0,IF($D$3=1,SUMIFS('Pricelist AUD'!$G$41:$G$112,'Pricelist AUD'!$O$41:$O$112,'Service-based'!$C20),IF($D$3=2,SUMIFS('Pricelist AUD'!$H$41:$H$112,'Pricelist AUD'!$O$41:$O$112,'Service-based'!$C20),IF($D$3=3,SUMIFS('Pricelist AUD'!$I$41:$I$112,'Pricelist AUD'!$O$41:$O$112,'Service-based'!$C20),IF($D$3=4,SUMIFS('Pricelist AUD'!$J$41:$J$112,'Pricelist AUD'!$O$41:$O$112,'Service-based'!$C20),IF($D$3=5,SUMIFS('Pricelist AUD'!$K$41:$K$112,'Pricelist AUD'!$O$41:$O$112,'Service-based'!$C20),IF($D$3=6,SUMIFS('Pricelist AUD'!$L$41:$L$112,'Pricelist AUD'!$O$41:$O$112,'Service-based'!$C20),IF($D$3=7,SUMIFS('Pricelist AUD'!$M$41:$M$112,'Pricelist AUD'!$O$41:$O$112,'Service-based'!$C20),IF($D$3=8,SUMIFS('Pricelist AUD'!$N$41:$N$112,'Pricelist AUD'!$O$41:$O$112,'Service-based'!$C20),"")))))))),"")</f>
        <v/>
      </c>
      <c r="G20" s="573" t="str">
        <f t="shared" si="0"/>
        <v/>
      </c>
      <c r="I20" s="137"/>
      <c r="J20" s="137"/>
    </row>
    <row r="21" spans="1:10" ht="17.100000000000001" customHeight="1">
      <c r="A21" s="736"/>
      <c r="B21" s="773"/>
      <c r="C21" s="225" t="s">
        <v>68</v>
      </c>
      <c r="D21" s="723"/>
      <c r="E21" s="210"/>
      <c r="F21" s="574" t="str">
        <f>IF(E21&gt;0,IF($D$3=1,SUMIFS('Pricelist AUD'!$G$41:$G$112,'Pricelist AUD'!$O$41:$O$112,'Service-based'!$C21),IF($D$3=2,SUMIFS('Pricelist AUD'!$H$41:$H$112,'Pricelist AUD'!$O$41:$O$112,'Service-based'!$C21),IF($D$3=3,SUMIFS('Pricelist AUD'!$I$41:$I$112,'Pricelist AUD'!$O$41:$O$112,'Service-based'!$C21),IF($D$3=4,SUMIFS('Pricelist AUD'!$J$41:$J$112,'Pricelist AUD'!$O$41:$O$112,'Service-based'!$C21),IF($D$3=5,SUMIFS('Pricelist AUD'!$K$41:$K$112,'Pricelist AUD'!$O$41:$O$112,'Service-based'!$C21),IF($D$3=6,SUMIFS('Pricelist AUD'!$L$41:$L$112,'Pricelist AUD'!$O$41:$O$112,'Service-based'!$C21),IF($D$3=7,SUMIFS('Pricelist AUD'!$M$41:$M$112,'Pricelist AUD'!$O$41:$O$112,'Service-based'!$C21),IF($D$3=8,SUMIFS('Pricelist AUD'!$N$41:$N$112,'Pricelist AUD'!$O$41:$O$112,'Service-based'!$C21),"")))))))),"")</f>
        <v/>
      </c>
      <c r="G21" s="574" t="str">
        <f t="shared" si="0"/>
        <v/>
      </c>
      <c r="I21" s="137"/>
      <c r="J21" s="137"/>
    </row>
    <row r="22" spans="1:10" ht="17.100000000000001" customHeight="1">
      <c r="A22" s="736"/>
      <c r="B22" s="773"/>
      <c r="C22" s="230" t="s">
        <v>69</v>
      </c>
      <c r="D22" s="723"/>
      <c r="E22" s="206"/>
      <c r="F22" s="573" t="str">
        <f>IF(E22&gt;0,IF($D$3=1,SUMIFS('Pricelist AUD'!$G$41:$G$112,'Pricelist AUD'!$O$41:$O$112,'Service-based'!$C22),IF($D$3=2,SUMIFS('Pricelist AUD'!$H$41:$H$112,'Pricelist AUD'!$O$41:$O$112,'Service-based'!$C22),IF($D$3=3,SUMIFS('Pricelist AUD'!$I$41:$I$112,'Pricelist AUD'!$O$41:$O$112,'Service-based'!$C22),IF($D$3=4,SUMIFS('Pricelist AUD'!$J$41:$J$112,'Pricelist AUD'!$O$41:$O$112,'Service-based'!$C22),IF($D$3=5,SUMIFS('Pricelist AUD'!$K$41:$K$112,'Pricelist AUD'!$O$41:$O$112,'Service-based'!$C22),IF($D$3=6,SUMIFS('Pricelist AUD'!$L$41:$L$112,'Pricelist AUD'!$O$41:$O$112,'Service-based'!$C22),IF($D$3=7,SUMIFS('Pricelist AUD'!$M$41:$M$112,'Pricelist AUD'!$O$41:$O$112,'Service-based'!$C22),IF($D$3=8,SUMIFS('Pricelist AUD'!$N$41:$N$112,'Pricelist AUD'!$O$41:$O$112,'Service-based'!$C22),"")))))))),"")</f>
        <v/>
      </c>
      <c r="G22" s="573" t="str">
        <f t="shared" si="0"/>
        <v/>
      </c>
      <c r="I22" s="137"/>
      <c r="J22" s="137"/>
    </row>
    <row r="23" spans="1:10" ht="17.100000000000001" customHeight="1">
      <c r="A23" s="736"/>
      <c r="B23" s="773"/>
      <c r="C23" s="225" t="s">
        <v>70</v>
      </c>
      <c r="D23" s="723"/>
      <c r="E23" s="210"/>
      <c r="F23" s="574" t="str">
        <f>IF(E23&gt;0,IF($D$3=1,SUMIFS('Pricelist AUD'!$G$41:$G$112,'Pricelist AUD'!$O$41:$O$112,'Service-based'!$C23,'Pricelist AUD'!$E$41:$E$112,'Service-based'!$E$4),IF($D$3=2,SUMIFS('Pricelist AUD'!$H$41:$H$112,'Pricelist AUD'!$O$41:$O$112,'Service-based'!$C23,'Pricelist AUD'!$E$41:$E$112,'Service-based'!$E$4),IF($D$3=3,SUMIFS('Pricelist AUD'!$I$41:$I$112,'Pricelist AUD'!$O$41:$O$112,'Service-based'!$C23,'Pricelist AUD'!$E$41:$E$112,'Service-based'!$E$4),IF($D$3=4,SUMIFS('Pricelist AUD'!$J$41:$J$112,'Pricelist AUD'!$O$41:$O$112,'Service-based'!$C23,'Pricelist AUD'!$E$41:$E$112,'Service-based'!$E$4),IF($D$3=5,SUMIFS('Pricelist AUD'!$K$41:$K$112,'Pricelist AUD'!$O$41:$O$112,'Service-based'!$C23,'Pricelist AUD'!$E$41:$E$112,'Service-based'!$E$4),IF($D$3=6,SUMIFS('Pricelist AUD'!$L$41:$L$112,'Pricelist AUD'!$O$41:$O$112,'Service-based'!$C23,'Pricelist AUD'!$E$41:$E$112,'Service-based'!$E$4),IF($D$3=7,SUMIFS('Pricelist AUD'!$M$41:$M$112,'Pricelist AUD'!$O$41:$O$112,'Service-based'!$C23,'Pricelist AUD'!$E$41:$E$112,'Service-based'!$E$4),IF($D$3=8,SUMIFS('Pricelist AUD'!$N$41:$N$112,'Pricelist AUD'!$O$41:$O$112,'Service-based'!$C23,'Pricelist AUD'!$E$41:$E$112,'Service-based'!$E$4),"")))))))),"")</f>
        <v/>
      </c>
      <c r="G23" s="574" t="str">
        <f t="shared" si="0"/>
        <v/>
      </c>
      <c r="I23" s="137"/>
      <c r="J23" s="137"/>
    </row>
    <row r="24" spans="1:10" ht="17.100000000000001" customHeight="1">
      <c r="A24" s="736"/>
      <c r="B24" s="773"/>
      <c r="C24" s="231" t="s">
        <v>71</v>
      </c>
      <c r="D24" s="723"/>
      <c r="E24" s="206"/>
      <c r="F24" s="573" t="str">
        <f>IF(E24&gt;0,IF($D$3=1,SUMIFS('Pricelist AUD'!$G$41:$G$112,'Pricelist AUD'!$O$41:$O$112,'Service-based'!$C24),IF($D$3=2,SUMIFS('Pricelist AUD'!$H$41:$H$112,'Pricelist AUD'!$O$41:$O$112,'Service-based'!$C24),IF($D$3=3,SUMIFS('Pricelist AUD'!$I$41:$I$112,'Pricelist AUD'!$O$41:$O$112,'Service-based'!$C24),IF($D$3=4,SUMIFS('Pricelist AUD'!$J$41:$J$112,'Pricelist AUD'!$O$41:$O$112,'Service-based'!$C24),IF($D$3=5,SUMIFS('Pricelist AUD'!$K$41:$K$112,'Pricelist AUD'!$O$41:$O$112,'Service-based'!$C24),IF($D$3=6,SUMIFS('Pricelist AUD'!$L$41:$L$112,'Pricelist AUD'!$O$41:$O$112,'Service-based'!$C24),IF($D$3=7,SUMIFS('Pricelist AUD'!$M$41:$M$112,'Pricelist AUD'!$O$41:$O$112,'Service-based'!$C24),IF($D$3=8,SUMIFS('Pricelist AUD'!$N$41:$N$112,'Pricelist AUD'!$O$41:$O$112,'Service-based'!$C24),"")))))))),"")</f>
        <v/>
      </c>
      <c r="G24" s="573" t="str">
        <f t="shared" si="0"/>
        <v/>
      </c>
      <c r="I24" s="137"/>
      <c r="J24" s="137"/>
    </row>
    <row r="25" spans="1:10" ht="17.100000000000001" customHeight="1">
      <c r="A25" s="736"/>
      <c r="B25" s="773"/>
      <c r="C25" s="225" t="s">
        <v>72</v>
      </c>
      <c r="D25" s="723"/>
      <c r="E25" s="210"/>
      <c r="F25" s="574" t="str">
        <f>IF(E25&gt;0,IF($D$3=1,SUMIFS('Pricelist AUD'!$G$41:$G$112,'Pricelist AUD'!$O$41:$O$112,'Service-based'!$C25,'Pricelist AUD'!$E$41:$E$112,'Service-based'!$E$4),IF($D$3=2,SUMIFS('Pricelist AUD'!$H$41:$H$112,'Pricelist AUD'!$O$41:$O$112,'Service-based'!$C25,'Pricelist AUD'!$E$41:$E$112,'Service-based'!$E$4),IF($D$3=3,SUMIFS('Pricelist AUD'!$I$41:$I$112,'Pricelist AUD'!$O$41:$O$112,'Service-based'!$C25,'Pricelist AUD'!$E$41:$E$112,'Service-based'!$E$4),IF($D$3=4,SUMIFS('Pricelist AUD'!$J$41:$J$112,'Pricelist AUD'!$O$41:$O$112,'Service-based'!$C25,'Pricelist AUD'!$E$41:$E$112,'Service-based'!$E$4),IF($D$3=5,SUMIFS('Pricelist AUD'!$K$41:$K$112,'Pricelist AUD'!$O$41:$O$112,'Service-based'!$C25,'Pricelist AUD'!$E$41:$E$112,'Service-based'!$E$4),IF($D$3=6,SUMIFS('Pricelist AUD'!$L$41:$L$112,'Pricelist AUD'!$O$41:$O$112,'Service-based'!$C25,'Pricelist AUD'!$E$41:$E$112,'Service-based'!$E$4),IF($D$3=7,SUMIFS('Pricelist AUD'!$M$41:$M$112,'Pricelist AUD'!$O$41:$O$112,'Service-based'!$C25,'Pricelist AUD'!$E$41:$E$112,'Service-based'!$E$4),IF($D$3=8,SUMIFS('Pricelist AUD'!$N$41:$N$112,'Pricelist AUD'!$O$41:$O$112,'Service-based'!$C25,'Pricelist AUD'!$E$41:$E$112,'Service-based'!$E$4),"")))))))),"")</f>
        <v/>
      </c>
      <c r="G25" s="574" t="str">
        <f t="shared" si="0"/>
        <v/>
      </c>
      <c r="I25" s="137"/>
      <c r="J25" s="137"/>
    </row>
    <row r="26" spans="1:10" ht="17.100000000000001" customHeight="1">
      <c r="A26" s="736"/>
      <c r="B26" s="773"/>
      <c r="C26" s="231" t="s">
        <v>73</v>
      </c>
      <c r="D26" s="723"/>
      <c r="E26" s="206"/>
      <c r="F26" s="573" t="str">
        <f>IF(E26&gt;0,IF($D$3=1,SUMIFS('Pricelist AUD'!$G$41:$G$112,'Pricelist AUD'!$O$41:$O$112,'Service-based'!$C26),IF($D$3=2,SUMIFS('Pricelist AUD'!$H$41:$H$112,'Pricelist AUD'!$O$41:$O$112,'Service-based'!$C26),IF($D$3=3,SUMIFS('Pricelist AUD'!$I$41:$I$112,'Pricelist AUD'!$O$41:$O$112,'Service-based'!$C26),IF($D$3=4,SUMIFS('Pricelist AUD'!$J$41:$J$112,'Pricelist AUD'!$O$41:$O$112,'Service-based'!$C26),IF($D$3=5,SUMIFS('Pricelist AUD'!$K$41:$K$112,'Pricelist AUD'!$O$41:$O$112,'Service-based'!$C26),IF($D$3=6,SUMIFS('Pricelist AUD'!$L$41:$L$112,'Pricelist AUD'!$O$41:$O$112,'Service-based'!$C26),IF($D$3=7,SUMIFS('Pricelist AUD'!$M$41:$M$112,'Pricelist AUD'!$O$41:$O$112,'Service-based'!$C26),IF($D$3=8,SUMIFS('Pricelist AUD'!$N$41:$N$112,'Pricelist AUD'!$O$41:$O$112,'Service-based'!$C26),"")))))))),"")</f>
        <v/>
      </c>
      <c r="G26" s="573" t="str">
        <f t="shared" si="0"/>
        <v/>
      </c>
      <c r="I26" s="137"/>
      <c r="J26" s="137"/>
    </row>
    <row r="27" spans="1:10" ht="17.100000000000001" customHeight="1">
      <c r="A27" s="736"/>
      <c r="B27" s="773"/>
      <c r="C27" s="225" t="s">
        <v>74</v>
      </c>
      <c r="D27" s="723"/>
      <c r="E27" s="210"/>
      <c r="F27" s="574" t="str">
        <f>IF(E27&gt;0,IF($D$3=1,SUMIFS('Pricelist AUD'!$G$41:$G$112,'Pricelist AUD'!$O$41:$O$112,'Service-based'!$C27),IF($D$3=2,SUMIFS('Pricelist AUD'!$H$41:$H$112,'Pricelist AUD'!$O$41:$O$112,'Service-based'!$C27),IF($D$3=3,SUMIFS('Pricelist AUD'!$I$41:$I$112,'Pricelist AUD'!$O$41:$O$112,'Service-based'!$C27),IF($D$3=4,SUMIFS('Pricelist AUD'!$J$41:$J$112,'Pricelist AUD'!$O$41:$O$112,'Service-based'!$C27),IF($D$3=5,SUMIFS('Pricelist AUD'!$K$41:$K$112,'Pricelist AUD'!$O$41:$O$112,'Service-based'!$C27),IF($D$3=6,SUMIFS('Pricelist AUD'!$L$41:$L$112,'Pricelist AUD'!$O$41:$O$112,'Service-based'!$C27),IF($D$3=7,SUMIFS('Pricelist AUD'!$M$41:$M$112,'Pricelist AUD'!$O$41:$O$112,'Service-based'!$C27),IF($D$3=8,SUMIFS('Pricelist AUD'!$N$41:$N$112,'Pricelist AUD'!$O$41:$O$112,'Service-based'!$C27),"")))))))),"")</f>
        <v/>
      </c>
      <c r="G27" s="574" t="str">
        <f t="shared" si="0"/>
        <v/>
      </c>
      <c r="I27" s="137"/>
      <c r="J27" s="137"/>
    </row>
    <row r="28" spans="1:10" ht="17.100000000000001" customHeight="1">
      <c r="A28" s="736"/>
      <c r="B28" s="773"/>
      <c r="C28" s="231" t="s">
        <v>75</v>
      </c>
      <c r="D28" s="723"/>
      <c r="E28" s="206"/>
      <c r="F28" s="573" t="str">
        <f>IF(E28&gt;0,IF($D$3=1,SUMIFS('Pricelist AUD'!$G$41:$G$112,'Pricelist AUD'!$O$41:$O$112,'Service-based'!$C28),IF($D$3=2,SUMIFS('Pricelist AUD'!$H$41:$H$112,'Pricelist AUD'!$O$41:$O$112,'Service-based'!$C28),IF($D$3=3,SUMIFS('Pricelist AUD'!$I$41:$I$112,'Pricelist AUD'!$O$41:$O$112,'Service-based'!$C28),IF($D$3=4,SUMIFS('Pricelist AUD'!$J$41:$J$112,'Pricelist AUD'!$O$41:$O$112,'Service-based'!$C28),IF($D$3=5,SUMIFS('Pricelist AUD'!$K$41:$K$112,'Pricelist AUD'!$O$41:$O$112,'Service-based'!$C28),IF($D$3=6,SUMIFS('Pricelist AUD'!$L$41:$L$112,'Pricelist AUD'!$O$41:$O$112,'Service-based'!$C28),IF($D$3=7,SUMIFS('Pricelist AUD'!$M$41:$M$112,'Pricelist AUD'!$O$41:$O$112,'Service-based'!$C28),IF($D$3=8,SUMIFS('Pricelist AUD'!$N$41:$N$112,'Pricelist AUD'!$O$41:$O$112,'Service-based'!$C28),"")))))))),"")</f>
        <v/>
      </c>
      <c r="G28" s="573" t="str">
        <f t="shared" si="0"/>
        <v/>
      </c>
      <c r="I28" s="137"/>
      <c r="J28" s="137"/>
    </row>
    <row r="29" spans="1:10" ht="17.100000000000001" customHeight="1">
      <c r="A29" s="736"/>
      <c r="B29" s="773"/>
      <c r="C29" s="225" t="s">
        <v>76</v>
      </c>
      <c r="D29" s="723"/>
      <c r="E29" s="212"/>
      <c r="F29" s="597" t="str">
        <f>IF(E29&gt;0,IF($D$3=1,SUMIFS('Pricelist AUD'!$G$41:$G$112,'Pricelist AUD'!$O$41:$O$112,'Service-based'!$C29,'Pricelist AUD'!$E$41:$E$112,'Service-based'!$E$4),IF($D$3=2,SUMIFS('Pricelist AUD'!$H$41:$H$112,'Pricelist AUD'!$O$41:$O$112,'Service-based'!$C29,'Pricelist AUD'!$E$41:$E$112,'Service-based'!$E$4),IF($D$3=3,SUMIFS('Pricelist AUD'!$I$41:$I$112,'Pricelist AUD'!$O$41:$O$112,'Service-based'!$C29,'Pricelist AUD'!$E$41:$E$112,'Service-based'!$E$4),IF($D$3=4,SUMIFS('Pricelist AUD'!$J$41:$J$112,'Pricelist AUD'!$O$41:$O$112,'Service-based'!$C29,'Pricelist AUD'!$E$41:$E$112,'Service-based'!$E$4),IF($D$3=5,SUMIFS('Pricelist AUD'!$K$41:$K$112,'Pricelist AUD'!$O$41:$O$112,'Service-based'!$C29,'Pricelist AUD'!$E$41:$E$112,'Service-based'!$E$4),IF($D$3=6,SUMIFS('Pricelist AUD'!$L$41:$L$112,'Pricelist AUD'!$O$41:$O$112,'Service-based'!$C29,'Pricelist AUD'!$E$41:$E$112,'Service-based'!$E$4),IF($D$3=7,SUMIFS('Pricelist AUD'!$M$41:$M$112,'Pricelist AUD'!$O$41:$O$112,'Service-based'!$C29,'Pricelist AUD'!$E$41:$E$112,'Service-based'!$E$4),IF($D$3=8,SUMIFS('Pricelist AUD'!$N$41:$N$112,'Pricelist AUD'!$O$41:$O$112,'Service-based'!$C29,'Pricelist AUD'!$E$41:$E$112,'Service-based'!$E$4),"")))))))),"")</f>
        <v/>
      </c>
      <c r="G29" s="574" t="str">
        <f t="shared" si="0"/>
        <v/>
      </c>
      <c r="I29" s="138"/>
      <c r="J29" s="138"/>
    </row>
    <row r="30" spans="1:10" ht="17.100000000000001" customHeight="1" thickBot="1">
      <c r="A30" s="736"/>
      <c r="B30" s="773"/>
      <c r="C30" s="232" t="s">
        <v>77</v>
      </c>
      <c r="D30" s="762"/>
      <c r="E30" s="213"/>
      <c r="F30" s="598" t="str">
        <f>IF(E30&gt;0,IF($D$3=1,SUMIFS('Pricelist AUD'!$G$41:$G$112,'Pricelist AUD'!$O$41:$O$112,'Service-based'!$C30),IF($D$3=2,SUMIFS('Pricelist AUD'!$H$41:$H$112,'Pricelist AUD'!$O$41:$O$112,'Service-based'!$C30),IF($D$3=3,SUMIFS('Pricelist AUD'!$I$41:$I$112,'Pricelist AUD'!$O$41:$O$112,'Service-based'!$C30),IF($D$3=4,SUMIFS('Pricelist AUD'!$J$41:$J$112,'Pricelist AUD'!$O$41:$O$112,'Service-based'!$C30),IF($D$3=5,SUMIFS('Pricelist AUD'!$K$41:$K$112,'Pricelist AUD'!$O$41:$O$112,'Service-based'!$C30),IF($D$3=6,SUMIFS('Pricelist AUD'!$L$41:$L$112,'Pricelist AUD'!$O$41:$O$112,'Service-based'!$C30),IF($D$3=7,SUMIFS('Pricelist AUD'!$M$41:$M$112,'Pricelist AUD'!$O$41:$O$112,'Service-based'!$C30),IF($D$3=8,SUMIFS('Pricelist AUD'!$N$41:$N$112,'Pricelist AUD'!$O$41:$O$112,'Service-based'!$C30),"")))))))),"")</f>
        <v/>
      </c>
      <c r="G30" s="575" t="str">
        <f t="shared" si="0"/>
        <v/>
      </c>
      <c r="I30" s="137"/>
      <c r="J30" s="137"/>
    </row>
    <row r="31" spans="1:10" ht="17.100000000000001" customHeight="1">
      <c r="A31" s="736"/>
      <c r="B31" s="755" t="s">
        <v>78</v>
      </c>
      <c r="C31" s="225" t="s">
        <v>79</v>
      </c>
      <c r="D31" s="738" t="s">
        <v>11</v>
      </c>
      <c r="E31" s="214"/>
      <c r="F31" s="599" t="str">
        <f>IF(E31&gt;0,IF($D$3=1,SUMIFS('Pricelist AUD'!$G$41:$G$112,'Pricelist AUD'!$O$41:$O$112,'Service-based'!$C31,'Pricelist AUD'!$E$41:$E$112,'Service-based'!$E$4),IF($D$3=2,SUMIFS('Pricelist AUD'!$H$41:$H$112,'Pricelist AUD'!$O$41:$O$112,'Service-based'!$C31,'Pricelist AUD'!$E$41:$E$112,'Service-based'!$E$4),IF($D$3=3,SUMIFS('Pricelist AUD'!$I$41:$I$112,'Pricelist AUD'!$O$41:$O$112,'Service-based'!$C31,'Pricelist AUD'!$E$41:$E$112,'Service-based'!$E$4),IF($D$3=4,SUMIFS('Pricelist AUD'!$J$41:$J$112,'Pricelist AUD'!$O$41:$O$112,'Service-based'!$C31,'Pricelist AUD'!$E$41:$E$112,'Service-based'!$E$4),IF($D$3=5,SUMIFS('Pricelist AUD'!$K$41:$K$112,'Pricelist AUD'!$O$41:$O$112,'Service-based'!$C31,'Pricelist AUD'!$E$41:$E$112,'Service-based'!$E$4),IF($D$3=6,SUMIFS('Pricelist AUD'!$L$41:$L$112,'Pricelist AUD'!$O$41:$O$112,'Service-based'!$C31,'Pricelist AUD'!$E$41:$E$112,'Service-based'!$E$4),IF($D$3=7,SUMIFS('Pricelist AUD'!$M$41:$M$112,'Pricelist AUD'!$O$41:$O$112,'Service-based'!$C31,'Pricelist AUD'!$E$41:$E$112,'Service-based'!$E$4),IF($D$3=8,SUMIFS('Pricelist AUD'!$N$41:$N$112,'Pricelist AUD'!$O$41:$O$112,'Service-based'!$C31,'Pricelist AUD'!$E$41:$E$112,'Service-based'!$E$4),"")))))))),"")</f>
        <v/>
      </c>
      <c r="G31" s="576" t="str">
        <f t="shared" si="0"/>
        <v/>
      </c>
      <c r="I31" s="137"/>
      <c r="J31" s="137"/>
    </row>
    <row r="32" spans="1:10" ht="17.100000000000001" customHeight="1">
      <c r="A32" s="736"/>
      <c r="B32" s="756"/>
      <c r="C32" s="230" t="s">
        <v>80</v>
      </c>
      <c r="D32" s="739"/>
      <c r="E32" s="215"/>
      <c r="F32" s="600" t="str">
        <f>IF(E32&gt;0,IF($D$3=1,SUMIFS('Pricelist AUD'!$G$41:$G$112,'Pricelist AUD'!$O$41:$O$112,'Service-based'!$C32),IF($D$3=2,SUMIFS('Pricelist AUD'!$H$41:$H$112,'Pricelist AUD'!$O$41:$O$112,'Service-based'!$C32),IF($D$3=3,SUMIFS('Pricelist AUD'!$I$41:$I$112,'Pricelist AUD'!$O$41:$O$112,'Service-based'!$C32),IF($D$3=4,SUMIFS('Pricelist AUD'!$J$41:$J$112,'Pricelist AUD'!$O$41:$O$112,'Service-based'!$C32),IF($D$3=5,SUMIFS('Pricelist AUD'!$K$41:$K$112,'Pricelist AUD'!$O$41:$O$112,'Service-based'!$C32),IF($D$3=6,SUMIFS('Pricelist AUD'!$L$41:$L$112,'Pricelist AUD'!$O$41:$O$112,'Service-based'!$C32),IF($D$3=7,SUMIFS('Pricelist AUD'!$M$41:$M$112,'Pricelist AUD'!$O$41:$O$112,'Service-based'!$C32),IF($D$3=8,SUMIFS('Pricelist AUD'!$N$41:$N$112,'Pricelist AUD'!$O$41:$O$112,'Service-based'!$C32),"")))))))),"")</f>
        <v/>
      </c>
      <c r="G32" s="573" t="str">
        <f t="shared" si="0"/>
        <v/>
      </c>
      <c r="I32" s="137"/>
      <c r="J32" s="137"/>
    </row>
    <row r="33" spans="1:10" ht="17.100000000000001" customHeight="1">
      <c r="A33" s="736"/>
      <c r="B33" s="756"/>
      <c r="C33" s="225" t="s">
        <v>81</v>
      </c>
      <c r="D33" s="739"/>
      <c r="E33" s="212"/>
      <c r="F33" s="597" t="str">
        <f>IF(E33&gt;0,IF($D$3=1,SUMIFS('Pricelist AUD'!$G$41:$G$112,'Pricelist AUD'!$O$41:$O$112,'Service-based'!$C33),IF($D$3=2,SUMIFS('Pricelist AUD'!$H$41:$H$112,'Pricelist AUD'!$O$41:$O$112,'Service-based'!$C33),IF($D$3=3,SUMIFS('Pricelist AUD'!$I$41:$I$112,'Pricelist AUD'!$O$41:$O$112,'Service-based'!$C33),IF($D$3=4,SUMIFS('Pricelist AUD'!$J$41:$J$112,'Pricelist AUD'!$O$41:$O$112,'Service-based'!$C33),IF($D$3=5,SUMIFS('Pricelist AUD'!$K$41:$K$112,'Pricelist AUD'!$O$41:$O$112,'Service-based'!$C33),IF($D$3=6,SUMIFS('Pricelist AUD'!$L$41:$L$112,'Pricelist AUD'!$O$41:$O$112,'Service-based'!$C33),IF($D$3=7,SUMIFS('Pricelist AUD'!$M$41:$M$112,'Pricelist AUD'!$O$41:$O$112,'Service-based'!$C33),IF($D$3=8,SUMIFS('Pricelist AUD'!$N$41:$N$112,'Pricelist AUD'!$O$41:$O$112,'Service-based'!$C33),"")))))))),"")</f>
        <v/>
      </c>
      <c r="G33" s="574" t="str">
        <f t="shared" si="0"/>
        <v/>
      </c>
      <c r="I33" s="137"/>
      <c r="J33" s="137"/>
    </row>
    <row r="34" spans="1:10" ht="17.100000000000001" customHeight="1" thickBot="1">
      <c r="A34" s="736"/>
      <c r="B34" s="756"/>
      <c r="C34" s="230" t="s">
        <v>82</v>
      </c>
      <c r="D34" s="740"/>
      <c r="E34" s="213"/>
      <c r="F34" s="601" t="str">
        <f>IF(E34&gt;0,IF($D$3=1,SUMIFS('Pricelist AUD'!$G$41:$G$112,'Pricelist AUD'!$O$41:$O$112,'Service-based'!$C34),IF($D$3=2,SUMIFS('Pricelist AUD'!$H$41:$H$112,'Pricelist AUD'!$O$41:$O$112,'Service-based'!$C34),IF($D$3=3,SUMIFS('Pricelist AUD'!$I$41:$I$112,'Pricelist AUD'!$O$41:$O$112,'Service-based'!$C34),IF($D$3=4,SUMIFS('Pricelist AUD'!$J$41:$J$112,'Pricelist AUD'!$O$41:$O$112,'Service-based'!$C34),IF($D$3=5,SUMIFS('Pricelist AUD'!$K$41:$K$112,'Pricelist AUD'!$O$41:$O$112,'Service-based'!$C34),IF($D$3=6,SUMIFS('Pricelist AUD'!$L$41:$L$112,'Pricelist AUD'!$O$41:$O$112,'Service-based'!$C34),IF($D$3=7,SUMIFS('Pricelist AUD'!$M$41:$M$112,'Pricelist AUD'!$O$41:$O$112,'Service-based'!$C34),IF($D$3=8,SUMIFS('Pricelist AUD'!$N$41:$N$112,'Pricelist AUD'!$O$41:$O$112,'Service-based'!$C34),"")))))))),"")</f>
        <v/>
      </c>
      <c r="G34" s="577" t="str">
        <f t="shared" si="0"/>
        <v/>
      </c>
      <c r="I34" s="137"/>
      <c r="J34" s="137"/>
    </row>
    <row r="35" spans="1:10" ht="30" customHeight="1" thickBot="1">
      <c r="A35" s="736"/>
      <c r="B35" s="271" t="s">
        <v>83</v>
      </c>
      <c r="C35" s="272" t="s">
        <v>84</v>
      </c>
      <c r="D35" s="273" t="s">
        <v>11</v>
      </c>
      <c r="E35" s="212"/>
      <c r="F35" s="602" t="str">
        <f>IF(E35&gt;0,IF($D$3=1,SUMIFS('Pricelist AUD'!$G$41:$G$112,'Pricelist AUD'!$O$41:$O$112,'Service-based'!$C35),IF($D$3=2,SUMIFS('Pricelist AUD'!$H$41:$H$112,'Pricelist AUD'!$O$41:$O$112,'Service-based'!$C35),IF($D$3=3,SUMIFS('Pricelist AUD'!$I$41:$I$112,'Pricelist AUD'!$O$41:$O$112,'Service-based'!$C35),IF($D$3=4,SUMIFS('Pricelist AUD'!$J$41:$J$112,'Pricelist AUD'!$O$41:$O$112,'Service-based'!$C35),IF($D$3=5,SUMIFS('Pricelist AUD'!$K$41:$K$112,'Pricelist AUD'!$O$41:$O$112,'Service-based'!$C35),IF($D$3=6,SUMIFS('Pricelist AUD'!$L$41:$L$112,'Pricelist AUD'!$O$41:$O$112,'Service-based'!$C35),IF($D$3=7,SUMIFS('Pricelist AUD'!$M$41:$M$112,'Pricelist AUD'!$O$41:$O$112,'Service-based'!$C35),IF($D$3=8,SUMIFS('Pricelist AUD'!$N$41:$N$112,'Pricelist AUD'!$O$41:$O$112,'Service-based'!$C35),"")))))))),"")</f>
        <v/>
      </c>
      <c r="G35" s="578" t="str">
        <f t="shared" si="0"/>
        <v/>
      </c>
      <c r="I35" s="137"/>
      <c r="J35" s="137"/>
    </row>
    <row r="36" spans="1:10" ht="17.100000000000001" customHeight="1">
      <c r="A36" s="736"/>
      <c r="B36" s="766" t="s">
        <v>37</v>
      </c>
      <c r="C36" s="276" t="s">
        <v>85</v>
      </c>
      <c r="D36" s="728" t="s">
        <v>86</v>
      </c>
      <c r="E36" s="216"/>
      <c r="F36" s="596" t="str">
        <f>IF(AND(E36&gt;0,E4="G2"),"Not available for G2",IF(E36&gt;0,IF($D$3=1,SUMIFS('Pricelist AUD'!$G$41:$G$112,'Pricelist AUD'!$O$41:$O$112,'Service-based'!$C36),IF($D$3=2,SUMIFS('Pricelist AUD'!$H$41:$H$112,'Pricelist AUD'!$O$41:$O$112,'Service-based'!$C36),IF($D$3=3,SUMIFS('Pricelist AUD'!$I$41:$I$112,'Pricelist AUD'!$O$41:$O$112,'Service-based'!$C36),IF($D$3=4,SUMIFS('Pricelist AUD'!$J$41:$J$112,'Pricelist AUD'!$O$41:$O$112,'Service-based'!$C36),IF($D$3=5,SUMIFS('Pricelist AUD'!$K$41:$K$112,'Pricelist AUD'!$O$41:$O$112,'Service-based'!$C36),IF($D$3=6,SUMIFS('Pricelist AUD'!$L$41:$L$112,'Pricelist AUD'!$O$41:$O$112,'Service-based'!$C36),IF($D$3=7,SUMIFS('Pricelist AUD'!$M$41:$M$112,'Pricelist AUD'!$O$41:$O$112,'Service-based'!$C36),IF($D$3=8,SUMIFS('Pricelist AUD'!$N$41:$N$112,'Pricelist AUD'!$O$41:$O$112,'Service-based'!$C36),"")))))))),""))</f>
        <v/>
      </c>
      <c r="G36" s="579" t="str">
        <f t="shared" si="0"/>
        <v/>
      </c>
      <c r="I36" s="139"/>
      <c r="J36" s="139"/>
    </row>
    <row r="37" spans="1:10" ht="17.100000000000001" customHeight="1">
      <c r="A37" s="736"/>
      <c r="B37" s="767"/>
      <c r="C37" s="278" t="s">
        <v>87</v>
      </c>
      <c r="D37" s="729"/>
      <c r="E37" s="210"/>
      <c r="F37" s="594" t="str">
        <f>IF(AND(E37&gt;0,E4="G2"),"Not available for G2",IF(E37&gt;0,IF($D$3=1,SUMIFS('Pricelist AUD'!$G$41:$G$112,'Pricelist AUD'!$O$41:$O$112,'Service-based'!$C37),IF($D$3=2,SUMIFS('Pricelist AUD'!$H$41:$H$112,'Pricelist AUD'!$O$41:$O$112,'Service-based'!$C37),IF($D$3=3,SUMIFS('Pricelist AUD'!$I$41:$I$112,'Pricelist AUD'!$O$41:$O$112,'Service-based'!$C37),IF($D$3=4,SUMIFS('Pricelist AUD'!$J$41:$J$112,'Pricelist AUD'!$O$41:$O$112,'Service-based'!$C37),IF($D$3=5,SUMIFS('Pricelist AUD'!$K$41:$K$112,'Pricelist AUD'!$O$41:$O$112,'Service-based'!$C37),IF($D$3=6,SUMIFS('Pricelist AUD'!$L$41:$L$112,'Pricelist AUD'!$O$41:$O$112,'Service-based'!$C37),IF($D$3=7,SUMIFS('Pricelist AUD'!$M$41:$M$112,'Pricelist AUD'!$O$41:$O$112,'Service-based'!$C37),IF($D$3=8,SUMIFS('Pricelist AUD'!$N$41:$N$112,'Pricelist AUD'!$O$41:$O$112,'Service-based'!$C37),"")))))))),""))</f>
        <v/>
      </c>
      <c r="G37" s="578" t="str">
        <f t="shared" si="0"/>
        <v/>
      </c>
      <c r="I37" s="137"/>
      <c r="J37" s="137"/>
    </row>
    <row r="38" spans="1:10" ht="17.100000000000001" customHeight="1" thickBot="1">
      <c r="A38" s="737"/>
      <c r="B38" s="768"/>
      <c r="C38" s="275" t="s">
        <v>88</v>
      </c>
      <c r="D38" s="730"/>
      <c r="E38" s="209"/>
      <c r="F38" s="595" t="str">
        <f>IF(AND(E38&gt;0,E4="G2"),"Not available for G2",IF(E38&gt;0,IF($D$3=1,SUMIFS('Pricelist AUD'!$G$41:$G$112,'Pricelist AUD'!$O$41:$O$112,'Service-based'!$C38),IF($D$3=2,SUMIFS('Pricelist AUD'!$H$41:$H$112,'Pricelist AUD'!$O$41:$O$112,'Service-based'!$C38),IF($D$3=3,SUMIFS('Pricelist AUD'!$I$41:$I$112,'Pricelist AUD'!$O$41:$O$112,'Service-based'!$C38),IF($D$3=4,SUMIFS('Pricelist AUD'!$J$41:$J$112,'Pricelist AUD'!$O$41:$O$112,'Service-based'!$C38),IF($D$3=5,SUMIFS('Pricelist AUD'!$K$41:$K$112,'Pricelist AUD'!$O$41:$O$112,'Service-based'!$C38),IF($D$3=6,SUMIFS('Pricelist AUD'!$L$41:$L$112,'Pricelist AUD'!$O$41:$O$112,'Service-based'!$C38),IF($D$3=7,SUMIFS('Pricelist AUD'!$M$41:$M$112,'Pricelist AUD'!$O$41:$O$112,'Service-based'!$C38),IF($D$3=8,SUMIFS('Pricelist AUD'!$N$41:$N$112,'Pricelist AUD'!$O$41:$O$112,'Service-based'!$C38),"")))))))),""))</f>
        <v/>
      </c>
      <c r="G38" s="580" t="str">
        <f t="shared" si="0"/>
        <v/>
      </c>
      <c r="I38" s="137"/>
      <c r="J38" s="137"/>
    </row>
    <row r="39" spans="1:10" ht="17.100000000000001" customHeight="1">
      <c r="A39" s="719" t="s">
        <v>89</v>
      </c>
      <c r="B39" s="720"/>
      <c r="C39" s="279" t="s">
        <v>90</v>
      </c>
      <c r="D39" s="723" t="s">
        <v>86</v>
      </c>
      <c r="E39" s="210"/>
      <c r="F39" s="578" t="str">
        <f>IF(E39&gt;0,IF($D$3=1,SUMIFS('Pricelist AUD'!$G$41:$G$112,'Pricelist AUD'!$O$41:$O$112,'Service-based'!$C39),IF($D$3=2,SUMIFS('Pricelist AUD'!$H$41:$H$112,'Pricelist AUD'!$O$41:$O$112,'Service-based'!$C39),IF($D$3=3,SUMIFS('Pricelist AUD'!$I$41:$I$112,'Pricelist AUD'!$O$41:$O$112,'Service-based'!$C39),IF($D$3=4,SUMIFS('Pricelist AUD'!$J$41:$J$112,'Pricelist AUD'!$O$41:$O$112,'Service-based'!$C39),IF($D$3=5,SUMIFS('Pricelist AUD'!$K$41:$K$112,'Pricelist AUD'!$O$41:$O$112,'Service-based'!$C39),IF($D$3=6,SUMIFS('Pricelist AUD'!$L$41:$L$112,'Pricelist AUD'!$O$41:$O$112,'Service-based'!$C39),IF($D$3=7,SUMIFS('Pricelist AUD'!$M$41:$M$112,'Pricelist AUD'!$O$41:$O$112,'Service-based'!$C39),IF($D$3=8,SUMIFS('Pricelist AUD'!$N$41:$N$112,'Pricelist AUD'!$O$41:$O$112,'Service-based'!$C39),"")))))))),"")</f>
        <v/>
      </c>
      <c r="G39" s="578" t="str">
        <f t="shared" si="0"/>
        <v/>
      </c>
      <c r="I39" s="137"/>
      <c r="J39" s="137"/>
    </row>
    <row r="40" spans="1:10" ht="17.100000000000001" customHeight="1">
      <c r="A40" s="721"/>
      <c r="B40" s="722"/>
      <c r="C40" s="276" t="s">
        <v>91</v>
      </c>
      <c r="D40" s="723"/>
      <c r="E40" s="206"/>
      <c r="F40" s="581" t="str">
        <f>IF(E40&gt;0,IF($D$3=1,SUMIFS('Pricelist AUD'!$G$41:$G$112,'Pricelist AUD'!$O$41:$O$112,'Service-based'!$C40),IF($D$3=2,SUMIFS('Pricelist AUD'!$H$41:$H$112,'Pricelist AUD'!$O$41:$O$112,'Service-based'!$C40),IF($D$3=3,SUMIFS('Pricelist AUD'!$I$41:$I$112,'Pricelist AUD'!$O$41:$O$112,'Service-based'!$C40),IF($D$3=4,SUMIFS('Pricelist AUD'!$J$41:$J$112,'Pricelist AUD'!$O$41:$O$112,'Service-based'!$C40),IF($D$3=5,SUMIFS('Pricelist AUD'!$K$41:$K$112,'Pricelist AUD'!$O$41:$O$112,'Service-based'!$C40),IF($D$3=6,SUMIFS('Pricelist AUD'!$L$41:$L$112,'Pricelist AUD'!$O$41:$O$112,'Service-based'!$C40),IF($D$3=7,SUMIFS('Pricelist AUD'!$M$41:$M$112,'Pricelist AUD'!$O$41:$O$112,'Service-based'!$C40),IF($D$3=8,SUMIFS('Pricelist AUD'!$N$41:$N$112,'Pricelist AUD'!$O$41:$O$112,'Service-based'!$C40),"")))))))),"")</f>
        <v/>
      </c>
      <c r="G40" s="581" t="str">
        <f t="shared" si="0"/>
        <v/>
      </c>
      <c r="I40" s="137"/>
      <c r="J40" s="137"/>
    </row>
    <row r="41" spans="1:10" ht="17.100000000000001" customHeight="1">
      <c r="A41" s="721"/>
      <c r="B41" s="722"/>
      <c r="C41" s="279" t="s">
        <v>92</v>
      </c>
      <c r="D41" s="723"/>
      <c r="E41" s="210"/>
      <c r="F41" s="578" t="str">
        <f>IF(E41&gt;0,IF($D$3=1,SUMIFS('Pricelist AUD'!$G$41:$G$112,'Pricelist AUD'!$O$41:$O$112,'Service-based'!$C41),IF($D$3=2,SUMIFS('Pricelist AUD'!$H$41:$H$112,'Pricelist AUD'!$O$41:$O$112,'Service-based'!$C41),IF($D$3=3,SUMIFS('Pricelist AUD'!$I$41:$I$112,'Pricelist AUD'!$O$41:$O$112,'Service-based'!$C41),IF($D$3=4,SUMIFS('Pricelist AUD'!$J$41:$J$112,'Pricelist AUD'!$O$41:$O$112,'Service-based'!$C41),IF($D$3=5,SUMIFS('Pricelist AUD'!$K$41:$K$112,'Pricelist AUD'!$O$41:$O$112,'Service-based'!$C41),IF($D$3=6,SUMIFS('Pricelist AUD'!$L$41:$L$112,'Pricelist AUD'!$O$41:$O$112,'Service-based'!$C41),IF($D$3=7,SUMIFS('Pricelist AUD'!$M$41:$M$112,'Pricelist AUD'!$O$41:$O$112,'Service-based'!$C41),IF($D$3=8,SUMIFS('Pricelist AUD'!$N$41:$N$112,'Pricelist AUD'!$O$41:$O$112,'Service-based'!$C41),"")))))))),"")</f>
        <v/>
      </c>
      <c r="G41" s="578" t="str">
        <f t="shared" si="0"/>
        <v/>
      </c>
      <c r="I41" s="137"/>
      <c r="J41" s="137"/>
    </row>
    <row r="42" spans="1:10" ht="17.100000000000001" customHeight="1">
      <c r="A42" s="721"/>
      <c r="B42" s="722"/>
      <c r="C42" s="276" t="s">
        <v>93</v>
      </c>
      <c r="D42" s="723"/>
      <c r="E42" s="206"/>
      <c r="F42" s="581" t="str">
        <f>IF(E42&gt;0,IF($D$3=1,SUMIFS('Pricelist AUD'!$G$41:$G$112,'Pricelist AUD'!$O$41:$O$112,'Service-based'!$C42),IF($D$3=2,SUMIFS('Pricelist AUD'!$H$41:$H$112,'Pricelist AUD'!$O$41:$O$112,'Service-based'!$C42),IF($D$3=3,SUMIFS('Pricelist AUD'!$I$41:$I$112,'Pricelist AUD'!$O$41:$O$112,'Service-based'!$C42),IF($D$3=4,SUMIFS('Pricelist AUD'!$J$41:$J$112,'Pricelist AUD'!$O$41:$O$112,'Service-based'!$C42),IF($D$3=5,SUMIFS('Pricelist AUD'!$K$41:$K$112,'Pricelist AUD'!$O$41:$O$112,'Service-based'!$C42),IF($D$3=6,SUMIFS('Pricelist AUD'!$L$41:$L$112,'Pricelist AUD'!$O$41:$O$112,'Service-based'!$C42),IF($D$3=7,SUMIFS('Pricelist AUD'!$M$41:$M$112,'Pricelist AUD'!$O$41:$O$112,'Service-based'!$C42),IF($D$3=8,SUMIFS('Pricelist AUD'!$N$41:$N$112,'Pricelist AUD'!$O$41:$O$112,'Service-based'!$C42),"")))))))),"")</f>
        <v/>
      </c>
      <c r="G42" s="581" t="str">
        <f t="shared" si="0"/>
        <v/>
      </c>
      <c r="I42" s="137"/>
      <c r="J42" s="137"/>
    </row>
    <row r="43" spans="1:10" ht="17.100000000000001" customHeight="1">
      <c r="A43" s="721"/>
      <c r="B43" s="722"/>
      <c r="C43" s="279" t="s">
        <v>94</v>
      </c>
      <c r="D43" s="723"/>
      <c r="E43" s="210"/>
      <c r="F43" s="578" t="str">
        <f>IF(E43&gt;0,IF($D$3=1,SUMIFS('Pricelist AUD'!$G$41:$G$112,'Pricelist AUD'!$O$41:$O$112,'Service-based'!$C43),IF($D$3=2,SUMIFS('Pricelist AUD'!$H$41:$H$112,'Pricelist AUD'!$O$41:$O$112,'Service-based'!$C43),IF($D$3=3,SUMIFS('Pricelist AUD'!$I$41:$I$112,'Pricelist AUD'!$O$41:$O$112,'Service-based'!$C43),IF($D$3=4,SUMIFS('Pricelist AUD'!$J$41:$J$112,'Pricelist AUD'!$O$41:$O$112,'Service-based'!$C43),IF($D$3=5,SUMIFS('Pricelist AUD'!$K$41:$K$112,'Pricelist AUD'!$O$41:$O$112,'Service-based'!$C43),IF($D$3=6,SUMIFS('Pricelist AUD'!$L$41:$L$112,'Pricelist AUD'!$O$41:$O$112,'Service-based'!$C43),IF($D$3=7,SUMIFS('Pricelist AUD'!$M$41:$M$112,'Pricelist AUD'!$O$41:$O$112,'Service-based'!$C43),IF($D$3=8,SUMIFS('Pricelist AUD'!$N$41:$N$112,'Pricelist AUD'!$O$41:$O$112,'Service-based'!$C43),"")))))))),"")</f>
        <v/>
      </c>
      <c r="G43" s="578" t="str">
        <f t="shared" si="0"/>
        <v/>
      </c>
      <c r="I43" s="137"/>
      <c r="J43" s="137"/>
    </row>
    <row r="44" spans="1:10" ht="17.100000000000001" customHeight="1" thickBot="1">
      <c r="A44" s="721"/>
      <c r="B44" s="722"/>
      <c r="C44" s="276" t="s">
        <v>95</v>
      </c>
      <c r="D44" s="723"/>
      <c r="E44" s="206"/>
      <c r="F44" s="581" t="str">
        <f>IF(E44&gt;0,IF($D$3=1,SUMIFS('Pricelist AUD'!$G$41:$G$112,'Pricelist AUD'!$O$41:$O$112,'Service-based'!$C44),IF($D$3=2,SUMIFS('Pricelist AUD'!$H$41:$H$112,'Pricelist AUD'!$O$41:$O$112,'Service-based'!$C44),IF($D$3=3,SUMIFS('Pricelist AUD'!$I$41:$I$112,'Pricelist AUD'!$O$41:$O$112,'Service-based'!$C44),IF($D$3=4,SUMIFS('Pricelist AUD'!$J$41:$J$112,'Pricelist AUD'!$O$41:$O$112,'Service-based'!$C44),IF($D$3=5,SUMIFS('Pricelist AUD'!$K$41:$K$112,'Pricelist AUD'!$O$41:$O$112,'Service-based'!$C44),IF($D$3=6,SUMIFS('Pricelist AUD'!$L$41:$L$112,'Pricelist AUD'!$O$41:$O$112,'Service-based'!$C44),IF($D$3=7,SUMIFS('Pricelist AUD'!$M$41:$M$112,'Pricelist AUD'!$O$41:$O$112,'Service-based'!$C44),IF($D$3=8,SUMIFS('Pricelist AUD'!$N$41:$N$112,'Pricelist AUD'!$O$41:$O$112,'Service-based'!$C44),"")))))))),"")</f>
        <v/>
      </c>
      <c r="G44" s="581" t="str">
        <f t="shared" si="0"/>
        <v/>
      </c>
      <c r="I44" s="137"/>
      <c r="J44" s="137"/>
    </row>
    <row r="45" spans="1:10" ht="17.100000000000001" customHeight="1">
      <c r="A45" s="719" t="s">
        <v>96</v>
      </c>
      <c r="B45" s="724"/>
      <c r="C45" s="280" t="s">
        <v>97</v>
      </c>
      <c r="D45" s="728" t="s">
        <v>86</v>
      </c>
      <c r="E45" s="214"/>
      <c r="F45" s="603" t="str">
        <f>IF(E45&gt;0,IF($D$3=1,SUMIFS('Pricelist AUD'!$G$41:$G$112,'Pricelist AUD'!$O$41:$O$112,'Service-based'!$C45,'Pricelist AUD'!$E$41:$E$112,'Service-based'!$E$4),IF($D$3=2,SUMIFS('Pricelist AUD'!$H$41:$H$112,'Pricelist AUD'!$O$41:$O$112,'Service-based'!$C45,'Pricelist AUD'!$E$41:$E$112,'Service-based'!$E$4),IF($D$3=3,SUMIFS('Pricelist AUD'!$I$41:$I$112,'Pricelist AUD'!$O$41:$O$112,'Service-based'!$C45,'Pricelist AUD'!$E$41:$E$112,'Service-based'!$E$4),IF($D$3=4,SUMIFS('Pricelist AUD'!$J$41:$J$112,'Pricelist AUD'!$O$41:$O$112,'Service-based'!$C45,'Pricelist AUD'!$E$41:$E$112,'Service-based'!$E$4),IF($D$3=5,SUMIFS('Pricelist AUD'!$K$41:$K$112,'Pricelist AUD'!$O$41:$O$112,'Service-based'!$C45,'Pricelist AUD'!$E$41:$E$112,'Service-based'!$E$4),IF($D$3=6,SUMIFS('Pricelist AUD'!$L$41:$L$112,'Pricelist AUD'!$O$41:$O$112,'Service-based'!$C45,'Pricelist AUD'!$E$41:$E$112,'Service-based'!$E$4),IF($D$3=7,SUMIFS('Pricelist AUD'!$M$41:$M$112,'Pricelist AUD'!$O$41:$O$112,'Service-based'!$C45,'Pricelist AUD'!$E$41:$E$112,'Service-based'!$E$4),IF($D$3=8,SUMIFS('Pricelist AUD'!$N$41:$N$112,'Pricelist AUD'!$O$41:$O$112,'Service-based'!$C45,'Pricelist AUD'!$E$41:$E$112,'Service-based'!$E$4),"")))))))),"")</f>
        <v/>
      </c>
      <c r="G45" s="582" t="str">
        <f t="shared" si="0"/>
        <v/>
      </c>
      <c r="I45" s="137"/>
      <c r="J45" s="137"/>
    </row>
    <row r="46" spans="1:10" ht="17.100000000000001" customHeight="1">
      <c r="A46" s="721"/>
      <c r="B46" s="725"/>
      <c r="C46" s="277" t="s">
        <v>98</v>
      </c>
      <c r="D46" s="729"/>
      <c r="E46" s="215"/>
      <c r="F46" s="604" t="str">
        <f>IF(E46&gt;0,IF($D$3=1,SUMIFS('Pricelist AUD'!$G$41:$G$112,'Pricelist AUD'!$O$41:$O$112,'Service-based'!$C46),IF($D$3=2,SUMIFS('Pricelist AUD'!$H$41:$H$112,'Pricelist AUD'!$O$41:$O$112,'Service-based'!$C46),IF($D$3=3,SUMIFS('Pricelist AUD'!$I$41:$I$112,'Pricelist AUD'!$O$41:$O$112,'Service-based'!$C46),IF($D$3=4,SUMIFS('Pricelist AUD'!$J$41:$J$112,'Pricelist AUD'!$O$41:$O$112,'Service-based'!$C46),IF($D$3=5,SUMIFS('Pricelist AUD'!$K$41:$K$112,'Pricelist AUD'!$O$41:$O$112,'Service-based'!$C46),IF($D$3=6,SUMIFS('Pricelist AUD'!$L$41:$L$112,'Pricelist AUD'!$O$41:$O$112,'Service-based'!$C46),IF($D$3=7,SUMIFS('Pricelist AUD'!$M$41:$M$112,'Pricelist AUD'!$O$41:$O$112,'Service-based'!$C46),IF($D$3=8,SUMIFS('Pricelist AUD'!$N$41:$N$112,'Pricelist AUD'!$O$41:$O$112,'Service-based'!$C46),"")))))))),"")</f>
        <v/>
      </c>
      <c r="G46" s="581" t="str">
        <f t="shared" si="0"/>
        <v/>
      </c>
      <c r="I46" s="137"/>
      <c r="J46" s="137"/>
    </row>
    <row r="47" spans="1:10" ht="17.100000000000001" customHeight="1">
      <c r="A47" s="721"/>
      <c r="B47" s="725"/>
      <c r="C47" s="281" t="s">
        <v>99</v>
      </c>
      <c r="D47" s="729"/>
      <c r="E47" s="217" t="str">
        <f>IF('Compute points'!F13=0,"",'Compute points'!F13)</f>
        <v/>
      </c>
      <c r="F47" s="602" t="str">
        <f>IF(E47&lt;&gt;"",IF($D$3=1,SUMIFS('Pricelist AUD'!$G$41:$G$112,'Pricelist AUD'!$O$41:$O$112,'Service-based'!$C47),IF($D$3=2,SUMIFS('Pricelist AUD'!$H$41:$H$112,'Pricelist AUD'!$O$41:$O$112,'Service-based'!$C47),IF($D$3=3,SUMIFS('Pricelist AUD'!$I$41:$I$112,'Pricelist AUD'!$O$41:$O$112,'Service-based'!$C47),IF($D$3=4,SUMIFS('Pricelist AUD'!$J$41:$J$112,'Pricelist AUD'!$O$41:$O$112,'Service-based'!$C47),IF($D$3=5,SUMIFS('Pricelist AUD'!$K$41:$K$112,'Pricelist AUD'!$O$41:$O$112,'Service-based'!$C47),IF($D$3=6,SUMIFS('Pricelist AUD'!$L$41:$L$112,'Pricelist AUD'!$O$41:$O$112,'Service-based'!$C47),IF($D$3=7,SUMIFS('Pricelist AUD'!$M$41:$M$112,'Pricelist AUD'!$O$41:$O$112,'Service-based'!$C47),IF($D$3=8,SUMIFS('Pricelist AUD'!$N$41:$N$112,'Pricelist AUD'!$O$41:$O$112,'Service-based'!$C47),"")))))))),"")</f>
        <v/>
      </c>
      <c r="G47" s="578" t="str">
        <f t="shared" si="0"/>
        <v/>
      </c>
      <c r="I47" s="137"/>
      <c r="J47" s="137"/>
    </row>
    <row r="48" spans="1:10" ht="17.100000000000001" customHeight="1">
      <c r="A48" s="721"/>
      <c r="B48" s="725"/>
      <c r="C48" s="277" t="s">
        <v>100</v>
      </c>
      <c r="D48" s="729"/>
      <c r="E48" s="206"/>
      <c r="F48" s="581" t="str">
        <f>IF(E48&gt;0,IF($D$3=1,SUMIFS('Pricelist AUD'!$G$41:$G$112,'Pricelist AUD'!$O$41:$O$112,'Service-based'!$C48),IF($D$3=2,SUMIFS('Pricelist AUD'!$H$41:$H$112,'Pricelist AUD'!$O$41:$O$112,'Service-based'!$C48),IF($D$3=3,SUMIFS('Pricelist AUD'!$I$41:$I$112,'Pricelist AUD'!$O$41:$O$112,'Service-based'!$C48),IF($D$3=4,SUMIFS('Pricelist AUD'!$J$41:$J$112,'Pricelist AUD'!$O$41:$O$112,'Service-based'!$C48),IF($D$3=5,SUMIFS('Pricelist AUD'!$K$41:$K$112,'Pricelist AUD'!$O$41:$O$112,'Service-based'!$C48),IF($D$3=6,SUMIFS('Pricelist AUD'!$L$41:$L$112,'Pricelist AUD'!$O$41:$O$112,'Service-based'!$C48),IF($D$3=7,SUMIFS('Pricelist AUD'!$M$41:$M$112,'Pricelist AUD'!$O$41:$O$112,'Service-based'!$C48),IF($D$3=8,SUMIFS('Pricelist AUD'!$N$41:$N$112,'Pricelist AUD'!$O$41:$O$112,'Service-based'!$C48),"")))))))),"")</f>
        <v/>
      </c>
      <c r="G48" s="581" t="str">
        <f t="shared" si="0"/>
        <v/>
      </c>
      <c r="I48" s="137"/>
      <c r="J48" s="137"/>
    </row>
    <row r="49" spans="1:10" ht="17.100000000000001" customHeight="1" thickBot="1">
      <c r="A49" s="726"/>
      <c r="B49" s="727"/>
      <c r="C49" s="283" t="s">
        <v>101</v>
      </c>
      <c r="D49" s="730"/>
      <c r="E49" s="210"/>
      <c r="F49" s="583" t="str">
        <f>IF(E49&gt;0,IF($D$3=1,SUMIFS('Pricelist AUD'!$G$41:$G$112,'Pricelist AUD'!$O$41:$O$112,'Service-based'!$C49),IF($D$3=2,SUMIFS('Pricelist AUD'!$H$41:$H$112,'Pricelist AUD'!$O$41:$O$112,'Service-based'!$C49),IF($D$3=3,SUMIFS('Pricelist AUD'!$I$41:$I$112,'Pricelist AUD'!$O$41:$O$112,'Service-based'!$C49),IF($D$3=4,SUMIFS('Pricelist AUD'!$J$41:$J$112,'Pricelist AUD'!$O$41:$O$112,'Service-based'!$C49),IF($D$3=5,SUMIFS('Pricelist AUD'!$K$41:$K$112,'Pricelist AUD'!$O$41:$O$112,'Service-based'!$C49),IF($D$3=6,SUMIFS('Pricelist AUD'!$L$41:$L$112,'Pricelist AUD'!$O$41:$O$112,'Service-based'!$C49),IF($D$3=7,SUMIFS('Pricelist AUD'!$M$41:$M$112,'Pricelist AUD'!$O$41:$O$112,'Service-based'!$C49),IF($D$3=8,SUMIFS('Pricelist AUD'!$N$41:$N$112,'Pricelist AUD'!$O$41:$O$112,'Service-based'!$C49),"")))))))),"")</f>
        <v/>
      </c>
      <c r="G49" s="583" t="str">
        <f t="shared" si="0"/>
        <v/>
      </c>
      <c r="I49" s="137"/>
      <c r="J49" s="137"/>
    </row>
    <row r="50" spans="1:10" ht="17.100000000000001" customHeight="1">
      <c r="A50" s="735" t="s">
        <v>102</v>
      </c>
      <c r="B50" s="752" t="s">
        <v>103</v>
      </c>
      <c r="C50" s="276" t="s">
        <v>104</v>
      </c>
      <c r="D50" s="723" t="s">
        <v>11</v>
      </c>
      <c r="E50" s="208"/>
      <c r="F50" s="579" t="str">
        <f>IF(E50&gt;0,IF($D$3=1,SUMIFS('Pricelist AUD'!$G$41:$G$112,'Pricelist AUD'!$O$41:$O$112,'Service-based'!$C50,'Pricelist AUD'!$E$41:$E$112,'Service-based'!$E$4),IF($D$3=2,SUMIFS('Pricelist AUD'!$H$41:$H$112,'Pricelist AUD'!$O$41:$O$112,'Service-based'!$C50,'Pricelist AUD'!$E$41:$E$112,'Service-based'!$E$4),IF($D$3=3,SUMIFS('Pricelist AUD'!$I$41:$I$112,'Pricelist AUD'!$O$41:$O$112,'Service-based'!$C50,'Pricelist AUD'!$E$41:$E$112,'Service-based'!$E$4),IF($D$3=4,SUMIFS('Pricelist AUD'!$J$41:$J$112,'Pricelist AUD'!$O$41:$O$112,'Service-based'!$C50,'Pricelist AUD'!$E$41:$E$112,'Service-based'!$E$4),IF($D$3=5,SUMIFS('Pricelist AUD'!$K$41:$K$112,'Pricelist AUD'!$O$41:$O$112,'Service-based'!$C50,'Pricelist AUD'!$E$41:$E$112,'Service-based'!$E$4),IF($D$3=6,SUMIFS('Pricelist AUD'!$L$41:$L$112,'Pricelist AUD'!$O$41:$O$112,'Service-based'!$C50,'Pricelist AUD'!$E$41:$E$112,'Service-based'!$E$4),IF($D$3=7,SUMIFS('Pricelist AUD'!$M$41:$M$112,'Pricelist AUD'!$O$41:$O$112,'Service-based'!$C50,'Pricelist AUD'!$E$41:$E$112,'Service-based'!$E$4),IF($D$3=8,SUMIFS('Pricelist AUD'!$N$41:$N$112,'Pricelist AUD'!$O$41:$O$112,'Service-based'!$C50,'Pricelist AUD'!$E$41:$E$112,'Service-based'!$E$4),"")))))))),"")</f>
        <v/>
      </c>
      <c r="G50" s="579" t="str">
        <f t="shared" si="0"/>
        <v/>
      </c>
      <c r="I50" s="137"/>
      <c r="J50" s="137"/>
    </row>
    <row r="51" spans="1:10" ht="17.100000000000001" customHeight="1">
      <c r="A51" s="736"/>
      <c r="B51" s="753"/>
      <c r="C51" s="278" t="s">
        <v>105</v>
      </c>
      <c r="D51" s="723"/>
      <c r="E51" s="210"/>
      <c r="F51" s="578" t="str">
        <f>IF(E51&gt;0,IF($D$3=1,SUMIFS('Pricelist AUD'!$G$41:$G$112,'Pricelist AUD'!$O$41:$O$112,'Service-based'!$C51),IF($D$3=2,SUMIFS('Pricelist AUD'!$H$41:$H$112,'Pricelist AUD'!$O$41:$O$112,'Service-based'!$C51),IF($D$3=3,SUMIFS('Pricelist AUD'!$I$41:$I$112,'Pricelist AUD'!$O$41:$O$112,'Service-based'!$C51),IF($D$3=4,SUMIFS('Pricelist AUD'!$J$41:$J$112,'Pricelist AUD'!$O$41:$O$112,'Service-based'!$C51),IF($D$3=5,SUMIFS('Pricelist AUD'!$K$41:$K$112,'Pricelist AUD'!$O$41:$O$112,'Service-based'!$C51),IF($D$3=6,SUMIFS('Pricelist AUD'!$L$41:$L$112,'Pricelist AUD'!$O$41:$O$112,'Service-based'!$C51),IF($D$3=7,SUMIFS('Pricelist AUD'!$M$41:$M$112,'Pricelist AUD'!$O$41:$O$112,'Service-based'!$C51),IF($D$3=8,SUMIFS('Pricelist AUD'!$N$41:$N$112,'Pricelist AUD'!$O$41:$O$112,'Service-based'!$C51),"")))))))),"")</f>
        <v/>
      </c>
      <c r="G51" s="578" t="str">
        <f t="shared" si="0"/>
        <v/>
      </c>
      <c r="I51" s="137"/>
      <c r="J51" s="137"/>
    </row>
    <row r="52" spans="1:10" ht="17.100000000000001" customHeight="1" thickBot="1">
      <c r="A52" s="736"/>
      <c r="B52" s="753"/>
      <c r="C52" s="275" t="s">
        <v>106</v>
      </c>
      <c r="D52" s="762"/>
      <c r="E52" s="299"/>
      <c r="F52" s="605" t="str">
        <f>IF(E52&gt;0,IF($D$3=1,SUMIFS('Pricelist AUD'!$G$41:$G$112,'Pricelist AUD'!$O$41:$O$112,'Service-based'!$C52),IF($D$3=2,SUMIFS('Pricelist AUD'!$H$41:$H$112,'Pricelist AUD'!$O$41:$O$112,'Service-based'!$C52),IF($D$3=3,SUMIFS('Pricelist AUD'!$I$41:$I$112,'Pricelist AUD'!$O$41:$O$112,'Service-based'!$C52),IF($D$3=4,SUMIFS('Pricelist AUD'!$J$41:$J$112,'Pricelist AUD'!$O$41:$O$112,'Service-based'!$C52),IF($D$3=5,SUMIFS('Pricelist AUD'!$K$41:$K$112,'Pricelist AUD'!$O$41:$O$112,'Service-based'!$C52),IF($D$3=6,SUMIFS('Pricelist AUD'!$L$41:$L$112,'Pricelist AUD'!$O$41:$O$112,'Service-based'!$C52),IF($D$3=7,SUMIFS('Pricelist AUD'!$M$41:$M$112,'Pricelist AUD'!$O$41:$O$112,'Service-based'!$C52),IF($D$3=8,SUMIFS('Pricelist AUD'!$N$41:$N$112,'Pricelist AUD'!$O$41:$O$112,'Service-based'!$C52),"")))))))),"")</f>
        <v/>
      </c>
      <c r="G52" s="580" t="str">
        <f t="shared" si="0"/>
        <v/>
      </c>
      <c r="I52" s="137"/>
      <c r="J52" s="137"/>
    </row>
    <row r="53" spans="1:10" ht="17.100000000000001" customHeight="1">
      <c r="A53" s="736"/>
      <c r="B53" s="763" t="s">
        <v>107</v>
      </c>
      <c r="C53" s="282" t="s">
        <v>108</v>
      </c>
      <c r="D53" s="717" t="s">
        <v>11</v>
      </c>
      <c r="E53" s="214"/>
      <c r="F53" s="602" t="str">
        <f>IF(E53&gt;0,IF($D$3=1,SUMIFS('Pricelist AUD'!$G$41:$G$112,'Pricelist AUD'!$O$41:$O$112,'Service-based'!$C53,'Pricelist AUD'!$E$41:$E$112,'Service-based'!$E$4),IF($D$3=2,SUMIFS('Pricelist AUD'!$H$41:$H$112,'Pricelist AUD'!$O$41:$O$112,'Service-based'!$C53,'Pricelist AUD'!$E$41:$E$112,'Service-based'!$E$4),IF($D$3=3,SUMIFS('Pricelist AUD'!$I$41:$I$112,'Pricelist AUD'!$O$41:$O$112,'Service-based'!$C53,'Pricelist AUD'!$E$41:$E$112,'Service-based'!$E$4),IF($D$3=4,SUMIFS('Pricelist AUD'!$J$41:$J$112,'Pricelist AUD'!$O$41:$O$112,'Service-based'!$C53,'Pricelist AUD'!$E$41:$E$112,'Service-based'!$E$4),IF($D$3=5,SUMIFS('Pricelist AUD'!$K$41:$K$112,'Pricelist AUD'!$O$41:$O$112,'Service-based'!$C53,'Pricelist AUD'!$E$41:$E$112,'Service-based'!$E$4),IF($D$3=6,SUMIFS('Pricelist AUD'!$L$41:$L$112,'Pricelist AUD'!$O$41:$O$112,'Service-based'!$C53,'Pricelist AUD'!$E$41:$E$112,'Service-based'!$E$4),IF($D$3=7,SUMIFS('Pricelist AUD'!$M$41:$M$112,'Pricelist AUD'!$O$41:$O$112,'Service-based'!$C53,'Pricelist AUD'!$E$41:$E$112,'Service-based'!$E$4),IF($D$3=8,SUMIFS('Pricelist AUD'!$N$41:$N$112,'Pricelist AUD'!$O$41:$O$112,'Service-based'!$C53,'Pricelist AUD'!$E$41:$E$112,'Service-based'!$E$4),"")))))))),"")</f>
        <v/>
      </c>
      <c r="G53" s="578" t="str">
        <f t="shared" si="0"/>
        <v/>
      </c>
      <c r="I53" s="137"/>
      <c r="J53" s="137"/>
    </row>
    <row r="54" spans="1:10" ht="17.100000000000001" customHeight="1">
      <c r="A54" s="736"/>
      <c r="B54" s="764"/>
      <c r="C54" s="276" t="s">
        <v>109</v>
      </c>
      <c r="D54" s="717"/>
      <c r="E54" s="215"/>
      <c r="F54" s="604" t="str">
        <f>IF(E54&gt;0,IF($D$3=1,SUMIFS('Pricelist AUD'!$G$41:$G$112,'Pricelist AUD'!$O$41:$O$112,'Service-based'!$C54),IF($D$3=2,SUMIFS('Pricelist AUD'!$H$41:$H$112,'Pricelist AUD'!$O$41:$O$112,'Service-based'!$C54),IF($D$3=3,SUMIFS('Pricelist AUD'!$I$41:$I$112,'Pricelist AUD'!$O$41:$O$112,'Service-based'!$C54),IF($D$3=4,SUMIFS('Pricelist AUD'!$J$41:$J$112,'Pricelist AUD'!$O$41:$O$112,'Service-based'!$C54),IF($D$3=5,SUMIFS('Pricelist AUD'!$K$41:$K$112,'Pricelist AUD'!$O$41:$O$112,'Service-based'!$C54),IF($D$3=6,SUMIFS('Pricelist AUD'!$L$41:$L$112,'Pricelist AUD'!$O$41:$O$112,'Service-based'!$C54),IF($D$3=7,SUMIFS('Pricelist AUD'!$M$41:$M$112,'Pricelist AUD'!$O$41:$O$112,'Service-based'!$C54),IF($D$3=8,SUMIFS('Pricelist AUD'!$N$41:$N$112,'Pricelist AUD'!$O$41:$O$112,'Service-based'!$C54),"")))))))),"")</f>
        <v/>
      </c>
      <c r="G54" s="581" t="str">
        <f>IFERROR(E54*F54,"")</f>
        <v/>
      </c>
      <c r="I54" s="137"/>
      <c r="J54" s="137"/>
    </row>
    <row r="55" spans="1:10" ht="17.100000000000001" customHeight="1" thickBot="1">
      <c r="A55" s="751"/>
      <c r="B55" s="765"/>
      <c r="C55" s="283" t="s">
        <v>110</v>
      </c>
      <c r="D55" s="718"/>
      <c r="E55" s="274"/>
      <c r="F55" s="606" t="str">
        <f>IF(E55&gt;0,IF($D$3=1,SUMIFS('Pricelist AUD'!$G$41:$G$112,'Pricelist AUD'!$O$41:$O$112,'Service-based'!$C55),IF($D$3=2,SUMIFS('Pricelist AUD'!$H$41:$H$112,'Pricelist AUD'!$O$41:$O$112,'Service-based'!$C55),IF($D$3=3,SUMIFS('Pricelist AUD'!$I$41:$I$112,'Pricelist AUD'!$O$41:$O$112,'Service-based'!$C55),IF($D$3=4,SUMIFS('Pricelist AUD'!$J$41:$J$112,'Pricelist AUD'!$O$41:$O$112,'Service-based'!$C55),IF($D$3=5,SUMIFS('Pricelist AUD'!$K$41:$K$112,'Pricelist AUD'!$O$41:$O$112,'Service-based'!$C55),IF($D$3=6,SUMIFS('Pricelist AUD'!$L$41:$L$112,'Pricelist AUD'!$O$41:$O$112,'Service-based'!$C55),IF($D$3=7,SUMIFS('Pricelist AUD'!$M$41:$M$112,'Pricelist AUD'!$O$41:$O$112,'Service-based'!$C55),IF($D$3=8,SUMIFS('Pricelist AUD'!$N$41:$N$112,'Pricelist AUD'!$O$41:$O$112,'Service-based'!$C55),"")))))))),"")</f>
        <v/>
      </c>
      <c r="G55" s="583" t="str">
        <f t="shared" si="0"/>
        <v/>
      </c>
      <c r="I55" s="137"/>
      <c r="J55" s="137"/>
    </row>
    <row r="56" spans="1:10" ht="17.100000000000001" customHeight="1" thickBot="1">
      <c r="A56" s="741" t="s">
        <v>111</v>
      </c>
      <c r="B56" s="742"/>
      <c r="C56" s="743"/>
      <c r="D56" s="179"/>
      <c r="E56" s="180"/>
      <c r="F56" s="584"/>
      <c r="G56" s="585"/>
      <c r="I56" s="137"/>
      <c r="J56" s="137"/>
    </row>
    <row r="57" spans="1:10" ht="17.100000000000001" customHeight="1">
      <c r="A57" s="735" t="s">
        <v>112</v>
      </c>
      <c r="B57" s="747" t="s">
        <v>78</v>
      </c>
      <c r="C57" s="234" t="s">
        <v>113</v>
      </c>
      <c r="D57" s="749" t="s">
        <v>11</v>
      </c>
      <c r="E57" s="218"/>
      <c r="F57" s="607" t="str">
        <f>IF(E57&gt;0,IF($D$3=1,SUMIFS('Pricelist AUD'!$G$41:$G$112,'Pricelist AUD'!$O$41:$O$112,'Service-based'!$C57,'Pricelist AUD'!$E$41:$E$112,'Service-based'!$E$4),IF($D$3=2,SUMIFS('Pricelist AUD'!$H$41:$H$112,'Pricelist AUD'!$O$41:$O$112,'Service-based'!$C57,'Pricelist AUD'!$E$41:$E$112,'Service-based'!$E$4),IF($D$3=3,SUMIFS('Pricelist AUD'!$I$41:$I$112,'Pricelist AUD'!$O$41:$O$112,'Service-based'!$C57,'Pricelist AUD'!$E$41:$E$112,'Service-based'!$E$4),IF($D$3=4,SUMIFS('Pricelist AUD'!$J$41:$J$112,'Pricelist AUD'!$O$41:$O$112,'Service-based'!$C57,'Pricelist AUD'!$E$41:$E$112,'Service-based'!$E$4),IF($D$3=5,SUMIFS('Pricelist AUD'!$K$41:$K$112,'Pricelist AUD'!$O$41:$O$112,'Service-based'!$C57,'Pricelist AUD'!$E$41:$E$112,'Service-based'!$E$4),IF($D$3=6,SUMIFS('Pricelist AUD'!$L$41:$L$112,'Pricelist AUD'!$O$41:$O$112,'Service-based'!$C57,'Pricelist AUD'!$E$41:$E$112,'Service-based'!$E$4),IF($D$3=7,SUMIFS('Pricelist AUD'!$M$41:$M$112,'Pricelist AUD'!$O$41:$O$112,'Service-based'!$C57,'Pricelist AUD'!$E$41:$E$112,'Service-based'!$E$4),IF($D$3=8,SUMIFS('Pricelist AUD'!$N$41:$N$112,'Pricelist AUD'!$O$41:$O$112,'Service-based'!$C57,'Pricelist AUD'!$E$41:$E$112,'Service-based'!$E$4),"")))))))),"")</f>
        <v/>
      </c>
      <c r="G57" s="572" t="str">
        <f t="shared" ref="G57:G62" si="1">IFERROR(E57*F57,"")</f>
        <v/>
      </c>
      <c r="I57" s="137"/>
      <c r="J57" s="137"/>
    </row>
    <row r="58" spans="1:10" ht="17.100000000000001" customHeight="1">
      <c r="A58" s="736"/>
      <c r="B58" s="748"/>
      <c r="C58" s="235" t="s">
        <v>114</v>
      </c>
      <c r="D58" s="750"/>
      <c r="E58" s="219"/>
      <c r="F58" s="608" t="str">
        <f>IF(E58&gt;0,IF($D$3=1,SUMIFS('Pricelist AUD'!$G$41:$G$112,'Pricelist AUD'!$O$41:$O$112,'Service-based'!$C58),IF($D$3=2,SUMIFS('Pricelist AUD'!$H$41:$H$112,'Pricelist AUD'!$O$41:$O$112,'Service-based'!$C58),IF($D$3=3,SUMIFS('Pricelist AUD'!$I$41:$I$112,'Pricelist AUD'!$O$41:$O$112,'Service-based'!$C58),IF($D$3=4,SUMIFS('Pricelist AUD'!$J$41:$J$112,'Pricelist AUD'!$O$41:$O$112,'Service-based'!$C58),IF($D$3=5,SUMIFS('Pricelist AUD'!$K$41:$K$112,'Pricelist AUD'!$O$41:$O$112,'Service-based'!$C58),IF($D$3=6,SUMIFS('Pricelist AUD'!$L$41:$L$112,'Pricelist AUD'!$O$41:$O$112,'Service-based'!$C58),IF($D$3=7,SUMIFS('Pricelist AUD'!$M$41:$M$112,'Pricelist AUD'!$O$41:$O$112,'Service-based'!$C58),IF($D$3=8,SUMIFS('Pricelist AUD'!$N$41:$N$112,'Pricelist AUD'!$O$41:$O$112,'Service-based'!$C58),"")))))))),"")</f>
        <v/>
      </c>
      <c r="G58" s="586" t="str">
        <f>IFERROR(E58*F58,"")</f>
        <v/>
      </c>
      <c r="I58" s="137"/>
      <c r="J58" s="137"/>
    </row>
    <row r="59" spans="1:10" ht="17.100000000000001" customHeight="1">
      <c r="A59" s="736"/>
      <c r="B59" s="754" t="s">
        <v>115</v>
      </c>
      <c r="C59" s="236" t="s">
        <v>116</v>
      </c>
      <c r="D59" s="758" t="s">
        <v>11</v>
      </c>
      <c r="E59" s="220"/>
      <c r="F59" s="574" t="str">
        <f>IF(E59&gt;0,IF($D$3=1,SUMIFS('Pricelist AUD'!$G$41:$G$112,'Pricelist AUD'!$O$41:$O$112,'Service-based'!$C59),IF($D$3=2,SUMIFS('Pricelist AUD'!$H$41:$H$112,'Pricelist AUD'!$O$41:$O$112,'Service-based'!$C59),IF($D$3=3,SUMIFS('Pricelist AUD'!$I$41:$I$112,'Pricelist AUD'!$O$41:$O$112,'Service-based'!$C59),IF($D$3=4,SUMIFS('Pricelist AUD'!$J$41:$J$112,'Pricelist AUD'!$O$41:$O$112,'Service-based'!$C59),IF($D$3=5,SUMIFS('Pricelist AUD'!$K$41:$K$112,'Pricelist AUD'!$O$41:$O$112,'Service-based'!$C59),IF($D$3=6,SUMIFS('Pricelist AUD'!$L$41:$L$112,'Pricelist AUD'!$O$41:$O$112,'Service-based'!$C59),IF($D$3=7,SUMIFS('Pricelist AUD'!$M$41:$M$112,'Pricelist AUD'!$O$41:$O$112,'Service-based'!$C59),IF($D$3=8,SUMIFS('Pricelist AUD'!$N$41:$N$112,'Pricelist AUD'!$O$41:$O$112,'Service-based'!$C59),"")))))))),"")</f>
        <v/>
      </c>
      <c r="G59" s="574" t="str">
        <f t="shared" si="1"/>
        <v/>
      </c>
      <c r="I59" s="137"/>
      <c r="J59" s="137"/>
    </row>
    <row r="60" spans="1:10" ht="17.100000000000001" customHeight="1">
      <c r="A60" s="736"/>
      <c r="B60" s="754"/>
      <c r="C60" s="235" t="s">
        <v>117</v>
      </c>
      <c r="D60" s="759"/>
      <c r="E60" s="219"/>
      <c r="F60" s="608" t="str">
        <f>IF(E60&gt;0,IF($D$3=1,SUMIFS('Pricelist AUD'!$G$41:$G$112,'Pricelist AUD'!$O$41:$O$112,'Service-based'!$C60,'Pricelist AUD'!$E$41:$E$112,'Service-based'!$E$4),IF($D$3=2,SUMIFS('Pricelist AUD'!$H$41:$H$112,'Pricelist AUD'!$O$41:$O$112,'Service-based'!$C60,'Pricelist AUD'!$E$41:$E$112,'Service-based'!$E$4),IF($D$3=3,SUMIFS('Pricelist AUD'!$I$41:$I$112,'Pricelist AUD'!$O$41:$O$112,'Service-based'!$C60,'Pricelist AUD'!$E$41:$E$112,'Service-based'!$E$4),IF($D$3=4,SUMIFS('Pricelist AUD'!$J$41:$J$112,'Pricelist AUD'!$O$41:$O$112,'Service-based'!$C60,'Pricelist AUD'!$E$41:$E$112,'Service-based'!$E$4),IF($D$3=5,SUMIFS('Pricelist AUD'!$K$41:$K$112,'Pricelist AUD'!$O$41:$O$112,'Service-based'!$C60,'Pricelist AUD'!$E$41:$E$112,'Service-based'!$E$4),IF($D$3=6,SUMIFS('Pricelist AUD'!$L$41:$L$112,'Pricelist AUD'!$O$41:$O$112,'Service-based'!$C60,'Pricelist AUD'!$E$41:$E$112,'Service-based'!$E$4),IF($D$3=7,SUMIFS('Pricelist AUD'!$M$41:$M$112,'Pricelist AUD'!$O$41:$O$112,'Service-based'!$C60,'Pricelist AUD'!$E$41:$E$112,'Service-based'!$E$4),IF($D$3=8,SUMIFS('Pricelist AUD'!$N$41:$N$112,'Pricelist AUD'!$O$41:$O$112,'Service-based'!$C60,'Pricelist AUD'!$E$41:$E$112,'Service-based'!$E$4),"")))))))),"")</f>
        <v/>
      </c>
      <c r="G60" s="586" t="str">
        <f t="shared" si="1"/>
        <v/>
      </c>
      <c r="I60" s="137"/>
      <c r="J60" s="137"/>
    </row>
    <row r="61" spans="1:10" ht="17.100000000000001" customHeight="1">
      <c r="A61" s="736"/>
      <c r="B61" s="748" t="s">
        <v>118</v>
      </c>
      <c r="C61" s="237" t="s">
        <v>119</v>
      </c>
      <c r="D61" s="760" t="s">
        <v>120</v>
      </c>
      <c r="E61" s="220"/>
      <c r="F61" s="574" t="str">
        <f>IF(E61&gt;0,IF($D$3=1,SUMIFS('Pricelist AUD'!$G$41:$G$112,'Pricelist AUD'!$O$41:$O$112,'Service-based'!$C61),IF($D$3=2,SUMIFS('Pricelist AUD'!$H$41:$H$112,'Pricelist AUD'!$O$41:$O$112,'Service-based'!$C61),IF($D$3=3,SUMIFS('Pricelist AUD'!$I$41:$I$112,'Pricelist AUD'!$O$41:$O$112,'Service-based'!$C61),IF($D$3=4,SUMIFS('Pricelist AUD'!$J$41:$J$112,'Pricelist AUD'!$O$41:$O$112,'Service-based'!$C61),IF($D$3=5,SUMIFS('Pricelist AUD'!$K$41:$K$112,'Pricelist AUD'!$O$41:$O$112,'Service-based'!$C61),IF($D$3=6,SUMIFS('Pricelist AUD'!$L$41:$L$112,'Pricelist AUD'!$O$41:$O$112,'Service-based'!$C61),IF($D$3=7,SUMIFS('Pricelist AUD'!$M$41:$M$112,'Pricelist AUD'!$O$41:$O$112,'Service-based'!$C61),IF($D$3=8,SUMIFS('Pricelist AUD'!$N$41:$N$112,'Pricelist AUD'!$O$41:$O$112,'Service-based'!$C61),"")))))))),"")</f>
        <v/>
      </c>
      <c r="G61" s="574" t="str">
        <f t="shared" si="1"/>
        <v/>
      </c>
      <c r="I61" s="137"/>
      <c r="J61" s="137"/>
    </row>
    <row r="62" spans="1:10" ht="17.100000000000001" customHeight="1" thickBot="1">
      <c r="A62" s="737"/>
      <c r="B62" s="757"/>
      <c r="C62" s="233" t="s">
        <v>121</v>
      </c>
      <c r="D62" s="761"/>
      <c r="E62" s="221"/>
      <c r="F62" s="609" t="str">
        <f>IF(E62&gt;0,IF($D$3=1,SUMIFS('Pricelist AUD'!$G$41:$G$112,'Pricelist AUD'!$O$41:$O$112,'Service-based'!$C62),IF($D$3=2,SUMIFS('Pricelist AUD'!$H$41:$H$112,'Pricelist AUD'!$O$41:$O$112,'Service-based'!$C62),IF($D$3=3,SUMIFS('Pricelist AUD'!$I$41:$I$112,'Pricelist AUD'!$O$41:$O$112,'Service-based'!$C62),IF($D$3=4,SUMIFS('Pricelist AUD'!$J$41:$J$112,'Pricelist AUD'!$O$41:$O$112,'Service-based'!$C62),IF($D$3=5,SUMIFS('Pricelist AUD'!$K$41:$K$112,'Pricelist AUD'!$O$41:$O$112,'Service-based'!$C62),IF($D$3=6,SUMIFS('Pricelist AUD'!$L$41:$L$112,'Pricelist AUD'!$O$41:$O$112,'Service-based'!$C62),IF($D$3=7,SUMIFS('Pricelist AUD'!$M$41:$M$112,'Pricelist AUD'!$O$41:$O$112,'Service-based'!$C62),IF($D$3=8,SUMIFS('Pricelist AUD'!$N$41:$N$112,'Pricelist AUD'!$O$41:$O$112,'Service-based'!$C62),"")))))))),"")</f>
        <v/>
      </c>
      <c r="G62" s="587" t="str">
        <f t="shared" si="1"/>
        <v/>
      </c>
      <c r="I62" s="137"/>
      <c r="J62" s="137"/>
    </row>
    <row r="63" spans="1:10" s="7" customFormat="1" ht="17.100000000000001" customHeight="1" thickBot="1">
      <c r="A63" s="741" t="s">
        <v>122</v>
      </c>
      <c r="B63" s="742"/>
      <c r="C63" s="746"/>
      <c r="D63" s="181"/>
      <c r="E63" s="182"/>
      <c r="F63" s="588"/>
      <c r="G63" s="589"/>
      <c r="I63" s="137"/>
      <c r="J63" s="137"/>
    </row>
    <row r="64" spans="1:10" s="7" customFormat="1" ht="30.95" customHeight="1" thickBot="1">
      <c r="A64" s="744" t="s">
        <v>123</v>
      </c>
      <c r="B64" s="745"/>
      <c r="C64" s="238" t="s">
        <v>124</v>
      </c>
      <c r="D64" s="223" t="s">
        <v>11</v>
      </c>
      <c r="E64" s="222"/>
      <c r="F64" s="610" t="str">
        <f>IF(E64&gt;0,IF($D$3=1,SUMIFS('Pricelist AUD'!$G$41:$G$112,'Pricelist AUD'!$O$41:$O$112,'Service-based'!$C64),IF($D$3=2,SUMIFS('Pricelist AUD'!$H$41:$H$112,'Pricelist AUD'!$O$41:$O$112,'Service-based'!$C64),IF($D$3=3,SUMIFS('Pricelist AUD'!$I$41:$I$112,'Pricelist AUD'!$O$41:$O$112,'Service-based'!$C64),IF($D$3=4,SUMIFS('Pricelist AUD'!$J$41:$J$112,'Pricelist AUD'!$O$41:$O$112,'Service-based'!$C64),IF($D$3=5,SUMIFS('Pricelist AUD'!$K$41:$K$112,'Pricelist AUD'!$O$41:$O$112,'Service-based'!$C64),IF($D$3=6,SUMIFS('Pricelist AUD'!$L$41:$L$112,'Pricelist AUD'!$O$41:$O$112,'Service-based'!$C64),IF($D$3=7,SUMIFS('Pricelist AUD'!$M$41:$M$112,'Pricelist AUD'!$O$41:$O$112,'Service-based'!$C64),IF($D$3=8,SUMIFS('Pricelist AUD'!$N$41:$N$112,'Pricelist AUD'!$O$41:$O$112,'Service-based'!$C64),"")))))))),"")</f>
        <v/>
      </c>
      <c r="G64" s="590" t="str">
        <f>IFERROR(E64*F64,"")</f>
        <v/>
      </c>
      <c r="I64" s="137"/>
      <c r="J64" s="137"/>
    </row>
    <row r="65" spans="1:10" ht="24" customHeight="1">
      <c r="A65" s="20"/>
      <c r="B65" s="20"/>
      <c r="C65" s="18"/>
      <c r="D65" s="18"/>
      <c r="E65" s="204" t="s">
        <v>40</v>
      </c>
      <c r="F65" s="117"/>
      <c r="G65" s="591">
        <f>SUM(G6:G64)</f>
        <v>0</v>
      </c>
      <c r="J65" s="137"/>
    </row>
    <row r="66" spans="1:10" ht="24" customHeight="1">
      <c r="A66" s="20"/>
      <c r="B66" s="20"/>
      <c r="C66" s="18"/>
      <c r="D66" s="18"/>
      <c r="E66" s="204" t="s">
        <v>39</v>
      </c>
      <c r="F66" s="117"/>
      <c r="G66" s="591">
        <f>'Solution-based'!G30</f>
        <v>0</v>
      </c>
      <c r="J66" s="137"/>
    </row>
    <row r="67" spans="1:10" ht="24" customHeight="1">
      <c r="A67" s="20"/>
      <c r="B67" s="20"/>
      <c r="C67" s="18"/>
      <c r="D67" s="18"/>
      <c r="E67" s="204" t="s">
        <v>41</v>
      </c>
      <c r="F67" s="117"/>
      <c r="G67" s="591">
        <f>G65+G66</f>
        <v>0</v>
      </c>
      <c r="J67" s="137"/>
    </row>
    <row r="68" spans="1:10" ht="24" customHeight="1">
      <c r="A68" s="8"/>
      <c r="B68" s="8"/>
      <c r="C68" s="8"/>
      <c r="D68" s="8"/>
      <c r="E68" s="39" t="s">
        <v>42</v>
      </c>
      <c r="F68" s="118"/>
      <c r="G68" s="592">
        <f>IF(G67&gt;E3,G67,E3)</f>
        <v>350</v>
      </c>
      <c r="J68" s="137"/>
    </row>
    <row r="69" spans="1:10" ht="24" customHeight="1">
      <c r="A69" s="8"/>
      <c r="B69" s="8"/>
      <c r="C69" s="8"/>
      <c r="D69" s="8"/>
      <c r="E69" s="39" t="s">
        <v>43</v>
      </c>
      <c r="F69" s="118"/>
      <c r="G69" s="592">
        <f>G68*12</f>
        <v>4200</v>
      </c>
      <c r="J69" s="137"/>
    </row>
    <row r="70" spans="1:10">
      <c r="A70" s="324"/>
      <c r="B70" s="324"/>
      <c r="C70" s="324"/>
      <c r="D70" s="324"/>
      <c r="E70" s="324"/>
      <c r="F70" s="324"/>
      <c r="G70" s="324"/>
    </row>
    <row r="71" spans="1:10">
      <c r="A71" s="324"/>
      <c r="B71" s="324"/>
      <c r="C71" s="324"/>
      <c r="D71" s="324"/>
      <c r="E71" s="324"/>
      <c r="F71" s="324"/>
      <c r="G71" s="324"/>
    </row>
    <row r="72" spans="1:10">
      <c r="A72" s="324"/>
      <c r="B72" s="324"/>
      <c r="C72" s="324"/>
      <c r="D72" s="324"/>
      <c r="E72" s="324"/>
      <c r="F72" s="324"/>
      <c r="G72" s="324"/>
    </row>
    <row r="73" spans="1:10">
      <c r="A73" s="324"/>
      <c r="B73" s="324"/>
      <c r="C73" s="324"/>
      <c r="D73" s="324"/>
      <c r="E73" s="324"/>
      <c r="F73" s="324"/>
      <c r="G73" s="324"/>
    </row>
    <row r="74" spans="1:10">
      <c r="A74" s="324"/>
      <c r="B74" s="324"/>
      <c r="C74" s="324"/>
      <c r="D74" s="324"/>
      <c r="E74" s="324"/>
      <c r="F74" s="324"/>
      <c r="G74" s="324"/>
    </row>
    <row r="75" spans="1:10">
      <c r="A75" s="324"/>
      <c r="B75" s="324"/>
      <c r="C75" s="324"/>
      <c r="D75" s="324"/>
      <c r="E75" s="324"/>
      <c r="F75" s="324"/>
      <c r="G75" s="324"/>
    </row>
    <row r="76" spans="1:10">
      <c r="A76" s="324"/>
      <c r="B76" s="324"/>
      <c r="C76" s="324"/>
      <c r="D76" s="324"/>
      <c r="E76" s="324"/>
      <c r="F76" s="324"/>
      <c r="G76" s="324"/>
    </row>
    <row r="77" spans="1:10">
      <c r="A77" s="324"/>
      <c r="B77" s="324"/>
      <c r="C77" s="324"/>
      <c r="D77" s="324"/>
      <c r="E77" s="324"/>
      <c r="F77" s="324"/>
      <c r="G77" s="324"/>
    </row>
    <row r="78" spans="1:10">
      <c r="A78" s="324"/>
      <c r="B78" s="324"/>
      <c r="C78" s="324"/>
      <c r="D78" s="324"/>
      <c r="E78" s="324"/>
      <c r="F78" s="324"/>
      <c r="G78" s="324"/>
    </row>
    <row r="79" spans="1:10">
      <c r="A79" s="324"/>
      <c r="B79" s="324"/>
      <c r="C79" s="324"/>
      <c r="D79" s="324"/>
      <c r="E79" s="324"/>
      <c r="F79" s="324"/>
      <c r="G79" s="324"/>
    </row>
    <row r="80" spans="1:10">
      <c r="A80" s="324"/>
      <c r="B80" s="324"/>
      <c r="C80" s="324"/>
      <c r="D80" s="324"/>
      <c r="E80" s="324"/>
      <c r="F80" s="324"/>
      <c r="G80" s="324"/>
    </row>
    <row r="81" spans="1:7">
      <c r="A81" s="324"/>
      <c r="B81" s="324"/>
      <c r="C81" s="324"/>
      <c r="D81" s="324"/>
      <c r="E81" s="324"/>
      <c r="F81" s="324"/>
      <c r="G81" s="324"/>
    </row>
    <row r="82" spans="1:7">
      <c r="A82" s="324"/>
      <c r="B82" s="324"/>
      <c r="C82" s="324"/>
      <c r="D82" s="324"/>
      <c r="E82" s="324"/>
      <c r="F82" s="324"/>
      <c r="G82" s="324"/>
    </row>
    <row r="83" spans="1:7">
      <c r="A83" s="324"/>
      <c r="B83" s="324"/>
      <c r="C83" s="324"/>
      <c r="D83" s="324"/>
      <c r="E83" s="324"/>
      <c r="F83" s="324"/>
      <c r="G83" s="324"/>
    </row>
    <row r="84" spans="1:7">
      <c r="A84" s="324"/>
      <c r="B84" s="324"/>
      <c r="C84" s="324"/>
      <c r="D84" s="324"/>
      <c r="E84" s="324"/>
      <c r="F84" s="324"/>
      <c r="G84" s="324"/>
    </row>
    <row r="85" spans="1:7">
      <c r="A85" s="324"/>
      <c r="B85" s="324"/>
      <c r="C85" s="324"/>
      <c r="D85" s="324"/>
      <c r="E85" s="324"/>
      <c r="F85" s="324"/>
      <c r="G85" s="324"/>
    </row>
    <row r="86" spans="1:7">
      <c r="A86" s="324"/>
      <c r="B86" s="324"/>
      <c r="C86" s="324"/>
      <c r="D86" s="324"/>
      <c r="E86" s="324"/>
      <c r="F86" s="324"/>
      <c r="G86" s="324"/>
    </row>
    <row r="87" spans="1:7">
      <c r="A87" s="324"/>
      <c r="B87" s="324"/>
      <c r="C87" s="324"/>
      <c r="D87" s="324"/>
      <c r="E87" s="324"/>
      <c r="F87" s="324"/>
      <c r="G87" s="324"/>
    </row>
    <row r="88" spans="1:7">
      <c r="A88" s="324"/>
      <c r="B88" s="324"/>
      <c r="C88" s="324"/>
      <c r="D88" s="324"/>
      <c r="E88" s="324"/>
      <c r="F88" s="324"/>
      <c r="G88" s="324"/>
    </row>
    <row r="89" spans="1:7">
      <c r="A89" s="324"/>
      <c r="B89" s="324"/>
      <c r="C89" s="324"/>
      <c r="D89" s="324"/>
      <c r="E89" s="324"/>
      <c r="F89" s="324"/>
      <c r="G89" s="324"/>
    </row>
    <row r="90" spans="1:7">
      <c r="A90" s="324"/>
      <c r="B90" s="324"/>
      <c r="C90" s="324"/>
      <c r="D90" s="324"/>
      <c r="E90" s="324"/>
      <c r="F90" s="324"/>
      <c r="G90" s="324"/>
    </row>
    <row r="91" spans="1:7">
      <c r="A91" s="324"/>
      <c r="B91" s="324"/>
      <c r="C91" s="324"/>
      <c r="D91" s="324"/>
      <c r="E91" s="324"/>
      <c r="F91" s="324"/>
      <c r="G91" s="324"/>
    </row>
    <row r="92" spans="1:7">
      <c r="A92" s="324"/>
      <c r="B92" s="324"/>
      <c r="C92" s="324"/>
      <c r="D92" s="324"/>
      <c r="E92" s="324"/>
      <c r="F92" s="324"/>
      <c r="G92" s="324"/>
    </row>
    <row r="93" spans="1:7">
      <c r="A93" s="324"/>
      <c r="B93" s="324"/>
      <c r="C93" s="324"/>
      <c r="D93" s="324"/>
      <c r="E93" s="324"/>
      <c r="F93" s="324"/>
      <c r="G93" s="324"/>
    </row>
  </sheetData>
  <sheetProtection algorithmName="SHA-512" hashValue="x/FcV3c39a96vDnpT4SsKQOJW7eFmG6QbSQA3JeZfEArrBUxxl/fhlB1MKQh9jS+5K4KS16QHLF5dG6OU5Pn5A==" saltValue="wIeG2gDdbouklUsRGlrUaA==" spinCount="100000" sheet="1" objects="1" scenarios="1"/>
  <mergeCells count="42">
    <mergeCell ref="E1:G1"/>
    <mergeCell ref="D36:D38"/>
    <mergeCell ref="B36:B38"/>
    <mergeCell ref="A17:A38"/>
    <mergeCell ref="A5:C5"/>
    <mergeCell ref="F4:G4"/>
    <mergeCell ref="F3:G3"/>
    <mergeCell ref="B17:B30"/>
    <mergeCell ref="A3:C3"/>
    <mergeCell ref="A4:C4"/>
    <mergeCell ref="D17:D30"/>
    <mergeCell ref="D6:D7"/>
    <mergeCell ref="D8:D9"/>
    <mergeCell ref="A16:B16"/>
    <mergeCell ref="D11:D13"/>
    <mergeCell ref="A11:B13"/>
    <mergeCell ref="A57:A62"/>
    <mergeCell ref="D31:D34"/>
    <mergeCell ref="A56:C56"/>
    <mergeCell ref="A64:B64"/>
    <mergeCell ref="A63:C63"/>
    <mergeCell ref="B57:B58"/>
    <mergeCell ref="D57:D58"/>
    <mergeCell ref="A50:A55"/>
    <mergeCell ref="B50:B52"/>
    <mergeCell ref="B59:B60"/>
    <mergeCell ref="B31:B34"/>
    <mergeCell ref="B61:B62"/>
    <mergeCell ref="D59:D60"/>
    <mergeCell ref="D61:D62"/>
    <mergeCell ref="D50:D52"/>
    <mergeCell ref="B53:B55"/>
    <mergeCell ref="E2:G2"/>
    <mergeCell ref="A2:C2"/>
    <mergeCell ref="A6:B10"/>
    <mergeCell ref="D53:D55"/>
    <mergeCell ref="A39:B44"/>
    <mergeCell ref="D39:D44"/>
    <mergeCell ref="A45:B49"/>
    <mergeCell ref="D45:D49"/>
    <mergeCell ref="A14:B14"/>
    <mergeCell ref="A15:B15"/>
  </mergeCells>
  <conditionalFormatting sqref="G68:G69">
    <cfRule type="expression" dxfId="5" priority="2">
      <formula>AND(#REF!&lt;#REF!,(SUM(#REF!)*#REF!&gt;0))</formula>
    </cfRule>
  </conditionalFormatting>
  <conditionalFormatting sqref="F68:F69">
    <cfRule type="expression" dxfId="4" priority="1">
      <formula>AND(#REF!&lt;#REF!,(SUM(#REF!)*#REF!&gt;0))</formula>
    </cfRule>
  </conditionalFormatting>
  <dataValidations xWindow="544" yWindow="645" count="10">
    <dataValidation allowBlank="1" showInputMessage="1" showErrorMessage="1" promptTitle="Azure/Google Cloud storage" prompt="Cloud Azure/Google storage managed by Acronis at selected locations" sqref="C30 C32" xr:uid="{70DA97CC-034A-4056-BAD5-F8AB6A9A5E03}"/>
    <dataValidation allowBlank="1" showErrorMessage="1" promptTitle="Service Provider Hosted Storage" prompt="Storage hosted on Service Provider Datacenter or Public Cloud managed by Service Provider (Azure, AWS, etc.)" sqref="D61 C59:C62 D59 D57" xr:uid="{00000000-0002-0000-0000-000002000000}"/>
    <dataValidation allowBlank="1" showErrorMessage="1" prompt="At Acronis Datacenter and/or Azure/Google storage managed by Acronis " sqref="C59:D59 D57" xr:uid="{00000000-0002-0000-0000-000003000000}"/>
    <dataValidation allowBlank="1" showErrorMessage="1" promptTitle="Service Provider Hosted Storage" sqref="C64" xr:uid="{00000000-0002-0000-0000-000005000000}"/>
    <dataValidation allowBlank="1" showErrorMessage="1" sqref="E60:E64" xr:uid="{00000000-0002-0000-0000-000006000000}"/>
    <dataValidation allowBlank="1" showInputMessage="1" showErrorMessage="1" promptTitle="&gt;&gt;&gt;&gt;&gt;Public IPs&lt;&lt;&lt;&lt;&lt;" prompt="Public IPs are optional. Only required for public facing services, i.e. Mail Server or Web Portal. 1 IP is assigned to 1 server and is reserved for that server." sqref="C48:C49" xr:uid="{FB0A39C8-0FE7-41D0-A842-D46D63775374}"/>
    <dataValidation allowBlank="1" showInputMessage="1" showErrorMessage="1" promptTitle="&gt;&gt;&gt;&gt;&gt;Compute Points&lt;&lt;&lt;&lt;&lt;" sqref="C47" xr:uid="{99385D52-770F-4E61-96C8-347EBE079D45}"/>
    <dataValidation allowBlank="1" showInputMessage="1" showErrorMessage="1" promptTitle="&gt;&gt;&gt;&gt;&gt;Customer Storage&lt;&lt;&lt;&lt;&lt;" prompt="Storage hosted on Customer Datacenter and that will be used for backups: Removable drives, Network Shares, Internal disks, etc." sqref="C34" xr:uid="{7845AC82-CD22-49B4-9939-E393F2E94D46}"/>
    <dataValidation allowBlank="1" showInputMessage="1" showErrorMessage="1" promptTitle="Service Provider Hosted Storage" prompt="Storage hosted on Service Provider Datacenter or Public Cloud managed by Service Provider (Azure, AWS, etc.)" sqref="C58 C33" xr:uid="{00000000-0002-0000-0000-00000A000000}"/>
    <dataValidation allowBlank="1" showInputMessage="1" showErrorMessage="1" promptTitle="&gt;&gt;&gt;&gt;&gt;Acronis Hosted Storage&lt;&lt;&lt;&lt;&lt;" prompt="At Acronis Datacenter" sqref="C57" xr:uid="{00000000-0002-0000-0000-000004000000}"/>
  </dataValidations>
  <hyperlinks>
    <hyperlink ref="C47" location="'Compute Points'!A1" display="Monthly Compute Point Consumption" xr:uid="{B91F7CA5-E8CA-464E-8815-D5186655E380}"/>
    <hyperlink ref="B36:B38" location="'Cloud DCs'!F2" display="Geo-replication" xr:uid="{AEDD3413-4365-4FE9-9EED-F62108F935FC}"/>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544" yWindow="645" count="2">
        <x14:dataValidation type="list" allowBlank="1" showInputMessage="1" showErrorMessage="1" xr:uid="{00000000-0002-0000-0000-000000000000}">
          <x14:formula1>
            <xm:f>'Pricelist AUD'!$G$2:$N$2</xm:f>
          </x14:formula1>
          <xm:sqref>E3</xm:sqref>
        </x14:dataValidation>
        <x14:dataValidation type="list" allowBlank="1" showInputMessage="1" showErrorMessage="1" xr:uid="{1CB0A953-F9DF-41D7-9368-CBD125DB75C0}">
          <x14:formula1>
            <xm:f>'Cloud DCs'!$G$2:$G$3</xm:f>
          </x14:formula1>
          <xm:sqref>E4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046B5-1390-4501-A2DA-8FAB27603650}">
  <dimension ref="A1:AI38"/>
  <sheetViews>
    <sheetView zoomScale="70" zoomScaleNormal="70" workbookViewId="0">
      <selection sqref="A1:D1"/>
    </sheetView>
  </sheetViews>
  <sheetFormatPr defaultColWidth="0" defaultRowHeight="14.45" zeroHeight="1"/>
  <cols>
    <col min="1" max="1" width="40.140625" style="1" customWidth="1"/>
    <col min="2" max="3" width="25.42578125" style="1" customWidth="1"/>
    <col min="4" max="5" width="26.5703125" style="1" customWidth="1"/>
    <col min="6" max="6" width="26.85546875" style="1" customWidth="1"/>
    <col min="7" max="12" width="10.42578125" style="105" hidden="1" customWidth="1"/>
    <col min="13" max="21" width="21.85546875" style="105" hidden="1" customWidth="1"/>
    <col min="22" max="35" width="21.85546875" hidden="1" customWidth="1"/>
    <col min="36" max="16384" width="8.85546875" hidden="1"/>
  </cols>
  <sheetData>
    <row r="1" spans="1:6" ht="37.5" customHeight="1" thickBot="1">
      <c r="A1" s="784" t="s">
        <v>125</v>
      </c>
      <c r="B1" s="785"/>
      <c r="C1" s="785"/>
      <c r="D1" s="785"/>
      <c r="E1" s="349"/>
      <c r="F1" s="61"/>
    </row>
    <row r="2" spans="1:6" ht="8.1" customHeight="1" thickBot="1">
      <c r="A2" s="61"/>
      <c r="B2" s="61"/>
      <c r="C2" s="61"/>
      <c r="D2" s="61"/>
      <c r="E2" s="61"/>
      <c r="F2" s="61"/>
    </row>
    <row r="3" spans="1:6" ht="39" customHeight="1" thickBot="1">
      <c r="A3" s="786" t="s">
        <v>126</v>
      </c>
      <c r="B3" s="787"/>
      <c r="C3" s="787"/>
      <c r="D3" s="787"/>
      <c r="E3" s="350"/>
      <c r="F3" s="61"/>
    </row>
    <row r="4" spans="1:6" ht="43.5">
      <c r="A4" s="351" t="s">
        <v>127</v>
      </c>
      <c r="B4" s="352" t="s">
        <v>128</v>
      </c>
      <c r="C4" s="356" t="s">
        <v>129</v>
      </c>
      <c r="D4" s="356" t="s">
        <v>130</v>
      </c>
      <c r="E4" s="357" t="s">
        <v>131</v>
      </c>
      <c r="F4" s="357" t="s">
        <v>132</v>
      </c>
    </row>
    <row r="5" spans="1:6">
      <c r="A5" s="62" t="s">
        <v>133</v>
      </c>
      <c r="B5" s="43">
        <v>1</v>
      </c>
      <c r="C5" s="44"/>
      <c r="D5" s="44"/>
      <c r="E5" s="63">
        <f>C5*B5*$B$16*$B$17</f>
        <v>0</v>
      </c>
      <c r="F5" s="63">
        <f t="shared" ref="F5:F11" si="0">D5*B5*$B$16*$B$17</f>
        <v>0</v>
      </c>
    </row>
    <row r="6" spans="1:6">
      <c r="A6" s="64" t="s">
        <v>134</v>
      </c>
      <c r="B6" s="45">
        <v>2</v>
      </c>
      <c r="C6" s="46"/>
      <c r="D6" s="46"/>
      <c r="E6" s="65">
        <f t="shared" ref="E6:E12" si="1">C6*B6*$B$16*$B$17</f>
        <v>0</v>
      </c>
      <c r="F6" s="65">
        <f t="shared" si="0"/>
        <v>0</v>
      </c>
    </row>
    <row r="7" spans="1:6">
      <c r="A7" s="62" t="s">
        <v>135</v>
      </c>
      <c r="B7" s="47">
        <v>4</v>
      </c>
      <c r="C7" s="48"/>
      <c r="D7" s="48"/>
      <c r="E7" s="66">
        <f t="shared" si="1"/>
        <v>0</v>
      </c>
      <c r="F7" s="66">
        <f t="shared" si="0"/>
        <v>0</v>
      </c>
    </row>
    <row r="8" spans="1:6">
      <c r="A8" s="64" t="s">
        <v>136</v>
      </c>
      <c r="B8" s="45">
        <v>8</v>
      </c>
      <c r="C8" s="46"/>
      <c r="D8" s="46"/>
      <c r="E8" s="65">
        <f>C8*B8*$B$16*$B$17</f>
        <v>0</v>
      </c>
      <c r="F8" s="65">
        <f>D8*B8*$B$16*$B$17</f>
        <v>0</v>
      </c>
    </row>
    <row r="9" spans="1:6">
      <c r="A9" s="62" t="s">
        <v>137</v>
      </c>
      <c r="B9" s="47">
        <v>16</v>
      </c>
      <c r="C9" s="48"/>
      <c r="D9" s="48"/>
      <c r="E9" s="66">
        <f>C9*B9*$B$16*$B$17</f>
        <v>0</v>
      </c>
      <c r="F9" s="66">
        <f>D9*B9*$B$16*$B$17</f>
        <v>0</v>
      </c>
    </row>
    <row r="10" spans="1:6">
      <c r="A10" s="64" t="s">
        <v>138</v>
      </c>
      <c r="B10" s="45">
        <v>32</v>
      </c>
      <c r="C10" s="46"/>
      <c r="D10" s="46"/>
      <c r="E10" s="65">
        <f t="shared" si="1"/>
        <v>0</v>
      </c>
      <c r="F10" s="65">
        <f t="shared" si="0"/>
        <v>0</v>
      </c>
    </row>
    <row r="11" spans="1:6">
      <c r="A11" s="62" t="s">
        <v>139</v>
      </c>
      <c r="B11" s="47">
        <v>64</v>
      </c>
      <c r="C11" s="48"/>
      <c r="D11" s="48"/>
      <c r="E11" s="66">
        <f t="shared" si="1"/>
        <v>0</v>
      </c>
      <c r="F11" s="66">
        <f t="shared" si="0"/>
        <v>0</v>
      </c>
    </row>
    <row r="12" spans="1:6" ht="15" thickBot="1">
      <c r="A12" s="67" t="s">
        <v>140</v>
      </c>
      <c r="B12" s="49">
        <v>128</v>
      </c>
      <c r="C12" s="50"/>
      <c r="D12" s="50"/>
      <c r="E12" s="68">
        <f t="shared" si="1"/>
        <v>0</v>
      </c>
      <c r="F12" s="68">
        <f>D12*B12*$B$16*$B$17</f>
        <v>0</v>
      </c>
    </row>
    <row r="13" spans="1:6" ht="15" thickBot="1">
      <c r="A13" s="788" t="s">
        <v>141</v>
      </c>
      <c r="B13" s="789"/>
      <c r="C13" s="69">
        <f>SUM(C5:C12)</f>
        <v>0</v>
      </c>
      <c r="D13" s="69">
        <f>SUM(D5:D12)</f>
        <v>0</v>
      </c>
      <c r="E13" s="70">
        <f>SUM(E5:E12)</f>
        <v>0</v>
      </c>
      <c r="F13" s="70">
        <f>SUM(F5:F12)</f>
        <v>0</v>
      </c>
    </row>
    <row r="14" spans="1:6" ht="15" thickBot="1">
      <c r="A14" s="61"/>
      <c r="B14" s="61"/>
      <c r="C14" s="61"/>
      <c r="D14" s="61"/>
      <c r="E14" s="61"/>
      <c r="F14" s="61"/>
    </row>
    <row r="15" spans="1:6" ht="18.95" thickBot="1">
      <c r="A15" s="790" t="s">
        <v>142</v>
      </c>
      <c r="B15" s="791"/>
      <c r="C15" s="61"/>
      <c r="D15" s="61"/>
      <c r="E15" s="61"/>
      <c r="F15" s="61"/>
    </row>
    <row r="16" spans="1:6">
      <c r="A16" s="71" t="s">
        <v>143</v>
      </c>
      <c r="B16" s="72">
        <v>1</v>
      </c>
      <c r="C16" s="61"/>
      <c r="D16" s="61"/>
      <c r="E16" s="61"/>
      <c r="F16" s="61"/>
    </row>
    <row r="17" spans="1:6" ht="15" thickBot="1">
      <c r="A17" s="73" t="s">
        <v>144</v>
      </c>
      <c r="B17" s="74">
        <v>1</v>
      </c>
      <c r="C17" s="61"/>
      <c r="D17" s="61"/>
      <c r="E17" s="61"/>
      <c r="F17" s="61"/>
    </row>
    <row r="18" spans="1:6">
      <c r="A18" s="61"/>
      <c r="B18" s="61"/>
      <c r="C18" s="61"/>
      <c r="D18" s="61"/>
      <c r="E18" s="61"/>
      <c r="F18" s="61"/>
    </row>
    <row r="19" spans="1:6" ht="15" thickBot="1">
      <c r="A19" s="75"/>
      <c r="B19" s="75"/>
      <c r="C19" s="75"/>
      <c r="D19" s="75"/>
      <c r="E19" s="75"/>
      <c r="F19" s="75"/>
    </row>
    <row r="20" spans="1:6" ht="15" thickTop="1">
      <c r="A20" s="76"/>
      <c r="B20" s="76"/>
      <c r="C20" s="76"/>
      <c r="D20" s="76"/>
      <c r="E20" s="76"/>
      <c r="F20" s="76"/>
    </row>
    <row r="21" spans="1:6" ht="15" thickBot="1">
      <c r="A21" s="76"/>
      <c r="B21" s="76"/>
      <c r="C21" s="76"/>
      <c r="D21" s="76"/>
      <c r="E21" s="76"/>
      <c r="F21" s="76"/>
    </row>
    <row r="22" spans="1:6" ht="24" thickBot="1">
      <c r="A22" s="792" t="s">
        <v>145</v>
      </c>
      <c r="B22" s="793"/>
      <c r="C22" s="793"/>
      <c r="D22" s="794"/>
      <c r="E22" s="76"/>
      <c r="F22" s="76"/>
    </row>
    <row r="23" spans="1:6" ht="5.0999999999999996" customHeight="1" thickBot="1">
      <c r="A23" s="76"/>
      <c r="B23" s="76"/>
      <c r="C23" s="76"/>
      <c r="D23" s="76"/>
      <c r="E23" s="76"/>
      <c r="F23" s="76"/>
    </row>
    <row r="24" spans="1:6" ht="25.5" customHeight="1" thickBot="1">
      <c r="A24" s="795" t="s">
        <v>146</v>
      </c>
      <c r="B24" s="796"/>
      <c r="C24" s="796"/>
      <c r="D24" s="797"/>
      <c r="E24" s="76"/>
      <c r="F24" s="76"/>
    </row>
    <row r="25" spans="1:6" ht="15" thickBot="1">
      <c r="A25" s="76"/>
      <c r="B25" s="76"/>
      <c r="C25" s="76"/>
      <c r="D25" s="76"/>
      <c r="E25" s="76"/>
      <c r="F25" s="76"/>
    </row>
    <row r="26" spans="1:6" ht="15" thickBot="1">
      <c r="A26" s="77" t="s">
        <v>147</v>
      </c>
      <c r="B26" s="78">
        <v>7</v>
      </c>
      <c r="C26" s="76"/>
      <c r="D26" s="76"/>
      <c r="E26" s="76"/>
      <c r="F26" s="76"/>
    </row>
    <row r="27" spans="1:6" ht="15" thickBot="1">
      <c r="A27" s="79"/>
      <c r="B27" s="79"/>
      <c r="C27" s="79"/>
      <c r="D27" s="79"/>
      <c r="E27" s="79"/>
      <c r="F27" s="79"/>
    </row>
    <row r="28" spans="1:6" ht="44.1" thickBot="1">
      <c r="A28" s="80" t="s">
        <v>127</v>
      </c>
      <c r="B28" s="81" t="s">
        <v>128</v>
      </c>
      <c r="C28" s="82" t="s">
        <v>148</v>
      </c>
      <c r="D28" s="83" t="s">
        <v>149</v>
      </c>
      <c r="E28" s="84" t="s">
        <v>150</v>
      </c>
      <c r="F28" s="76"/>
    </row>
    <row r="29" spans="1:6">
      <c r="A29" s="62" t="s">
        <v>133</v>
      </c>
      <c r="B29" s="85">
        <v>1</v>
      </c>
      <c r="C29" s="86"/>
      <c r="D29" s="87">
        <f>C29*24*B29</f>
        <v>0</v>
      </c>
      <c r="E29" s="88">
        <f t="shared" ref="E29:E36" si="2">B29*24*$B$26*C29</f>
        <v>0</v>
      </c>
      <c r="F29" s="76"/>
    </row>
    <row r="30" spans="1:6">
      <c r="A30" s="89" t="s">
        <v>134</v>
      </c>
      <c r="B30" s="90">
        <v>2</v>
      </c>
      <c r="C30" s="91"/>
      <c r="D30" s="92">
        <f t="shared" ref="D30:D36" si="3">C30*24*B30</f>
        <v>0</v>
      </c>
      <c r="E30" s="93">
        <f t="shared" si="2"/>
        <v>0</v>
      </c>
      <c r="F30" s="76"/>
    </row>
    <row r="31" spans="1:6">
      <c r="A31" s="62" t="s">
        <v>135</v>
      </c>
      <c r="B31" s="94">
        <v>4</v>
      </c>
      <c r="C31" s="95"/>
      <c r="D31" s="96">
        <f t="shared" si="3"/>
        <v>0</v>
      </c>
      <c r="E31" s="97">
        <f t="shared" si="2"/>
        <v>0</v>
      </c>
      <c r="F31" s="76"/>
    </row>
    <row r="32" spans="1:6">
      <c r="A32" s="89" t="s">
        <v>136</v>
      </c>
      <c r="B32" s="90">
        <v>8</v>
      </c>
      <c r="C32" s="91"/>
      <c r="D32" s="92">
        <f t="shared" si="3"/>
        <v>0</v>
      </c>
      <c r="E32" s="93">
        <f t="shared" si="2"/>
        <v>0</v>
      </c>
      <c r="F32" s="76"/>
    </row>
    <row r="33" spans="1:6">
      <c r="A33" s="62" t="s">
        <v>137</v>
      </c>
      <c r="B33" s="94">
        <v>16</v>
      </c>
      <c r="C33" s="95"/>
      <c r="D33" s="96">
        <f t="shared" si="3"/>
        <v>0</v>
      </c>
      <c r="E33" s="97">
        <f t="shared" si="2"/>
        <v>0</v>
      </c>
      <c r="F33" s="79"/>
    </row>
    <row r="34" spans="1:6">
      <c r="A34" s="89" t="s">
        <v>138</v>
      </c>
      <c r="B34" s="90">
        <v>32</v>
      </c>
      <c r="C34" s="91"/>
      <c r="D34" s="92">
        <f t="shared" si="3"/>
        <v>0</v>
      </c>
      <c r="E34" s="93">
        <f t="shared" si="2"/>
        <v>0</v>
      </c>
      <c r="F34" s="76"/>
    </row>
    <row r="35" spans="1:6">
      <c r="A35" s="62" t="s">
        <v>139</v>
      </c>
      <c r="B35" s="94">
        <v>64</v>
      </c>
      <c r="C35" s="95"/>
      <c r="D35" s="96">
        <f t="shared" si="3"/>
        <v>0</v>
      </c>
      <c r="E35" s="97">
        <f t="shared" si="2"/>
        <v>0</v>
      </c>
      <c r="F35" s="76"/>
    </row>
    <row r="36" spans="1:6" ht="15" thickBot="1">
      <c r="A36" s="98" t="s">
        <v>140</v>
      </c>
      <c r="B36" s="99">
        <v>128</v>
      </c>
      <c r="C36" s="100"/>
      <c r="D36" s="101">
        <f t="shared" si="3"/>
        <v>0</v>
      </c>
      <c r="E36" s="102">
        <f t="shared" si="2"/>
        <v>0</v>
      </c>
      <c r="F36" s="76"/>
    </row>
    <row r="37" spans="1:6" ht="15" thickBot="1">
      <c r="A37" s="780" t="s">
        <v>141</v>
      </c>
      <c r="B37" s="781"/>
      <c r="C37" s="103">
        <f>SUM(C29:C36)</f>
        <v>0</v>
      </c>
      <c r="D37" s="104">
        <f>SUM(D29:D36)</f>
        <v>0</v>
      </c>
      <c r="E37" s="104">
        <f>SUM(E29:E36)</f>
        <v>0</v>
      </c>
      <c r="F37" s="76"/>
    </row>
    <row r="38" spans="1:6" ht="40.5" customHeight="1" thickBot="1">
      <c r="A38" s="782" t="s">
        <v>151</v>
      </c>
      <c r="B38" s="783"/>
      <c r="C38" s="783"/>
      <c r="D38" s="650">
        <f>D37*IF(C37&gt;=0,IF('Service-based'!$D$3=1,SUMIFS('Pricelist AUD'!$G$41:$G$119,'Pricelist AUD'!$O$41:$O$119,'Service-based'!C47),IF('Service-based'!$D$3=2,SUMIFS('Pricelist AUD'!$H$41:$H$119,'Pricelist AUD'!$O$41:$O$119,'Service-based'!C47),IF('Service-based'!$D$3=3,SUMIFS('Pricelist AUD'!$I$41:$I$119,'Pricelist AUD'!$O$41:$O$119,'Service-based'!C47),IF('Service-based'!$D$3=4,SUMIFS('Pricelist AUD'!$J$41:$J$119,'Pricelist AUD'!$O$41:$O$119,'Service-based'!C47),IF('Service-based'!$D$3=5,SUMIFS('Pricelist AUD'!$K$41:$K$119,'Pricelist AUD'!$O$41:$O$119,'Service-based'!C47),IF('Service-based'!$D$3=6,SUMIFS('Pricelist AUD'!$L$41:$L$119,'Pricelist AUD'!$O$41:$O$119,'Service-based'!C47),IF('Service-based'!$D$3=7,SUMIFS('Pricelist AUD'!ML$41:ML$119,'Pricelist AUD'!$O$41:$O$119,'Service-based'!C47),IF('Service-based'!$D$3=8,SUMIFS('Pricelist AUD'!$N$41:$N$119,'Pricelist AUD'!$O$41:$O$119,'Service-based'!C47),"")))))))),"")</f>
        <v>0</v>
      </c>
      <c r="E38" s="650">
        <f>E37*IF(D37&gt;=0,IF('Service-based'!$D$3=1,SUMIFS('Pricelist AUD'!$G$41:$G$119,'Pricelist AUD'!$O$41:$O$119,'Service-based'!C47),IF('Service-based'!$D$3=2,SUMIFS('Pricelist AUD'!$H$41:$H$119,'Pricelist AUD'!$O$41:$O$119,'Service-based'!C47),IF('Service-based'!$D$3=3,SUMIFS('Pricelist AUD'!$I$41:$I$119,'Pricelist AUD'!$O$41:$O$119,'Service-based'!C47),IF('Service-based'!$D$3=4,SUMIFS('Pricelist AUD'!$J$41:$J$119,'Pricelist AUD'!$O$41:$O$119,'Service-based'!C47),IF('Service-based'!$D$3=5,SUMIFS('Pricelist AUD'!$K$41:$K$119,'Pricelist AUD'!$O$41:$O$119,'Service-based'!C47),IF('Service-based'!$D$3=6,SUMIFS('Pricelist AUD'!$L$41:$L$119,'Pricelist AUD'!$O$41:$O$119,'Service-based'!C47),IF('Service-based'!$D$3=7,SUMIFS('Pricelist AUD'!$M$41:$M$119,'Pricelist AUD'!$O$41:$O$119,'Service-based'!C47),IF('Service-based'!$D$3=8,SUMIFS('Pricelist AUD'!$N$41:$N$119,'Pricelist AUD'!$O$41:$O$119,'Service-based'!C47),"")))))))),"")</f>
        <v>0</v>
      </c>
      <c r="F38" s="76"/>
    </row>
  </sheetData>
  <sheetProtection algorithmName="SHA-512" hashValue="hlGtahAXPQnj2/NAZ0TGQyj8He7s5aMyA881rhR4gerWQpFd6MTBAEVdMiwsLDPtb3md2M4OTM+AFG7c0E5FVg==" saltValue="3AhncruZkSwdEHSkKlhFOw==" spinCount="100000" sheet="1" objects="1" scenarios="1"/>
  <mergeCells count="8">
    <mergeCell ref="A37:B37"/>
    <mergeCell ref="A38:C38"/>
    <mergeCell ref="A1:D1"/>
    <mergeCell ref="A3:D3"/>
    <mergeCell ref="A13:B13"/>
    <mergeCell ref="A15:B15"/>
    <mergeCell ref="A22:D22"/>
    <mergeCell ref="A24:D2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F92"/>
  <sheetViews>
    <sheetView zoomScale="60" zoomScaleNormal="60" workbookViewId="0">
      <selection activeCell="D3" sqref="D3"/>
    </sheetView>
  </sheetViews>
  <sheetFormatPr defaultColWidth="8.85546875" defaultRowHeight="14.45"/>
  <cols>
    <col min="1" max="1" width="19.42578125" customWidth="1"/>
    <col min="2" max="2" width="31.42578125" bestFit="1" customWidth="1"/>
    <col min="3" max="3" width="79.140625" bestFit="1" customWidth="1"/>
    <col min="4" max="4" width="22.140625" customWidth="1"/>
    <col min="5" max="5" width="24.85546875" customWidth="1"/>
    <col min="6" max="6" width="23.42578125" customWidth="1"/>
  </cols>
  <sheetData>
    <row r="2" spans="1:6" ht="20.100000000000001" customHeight="1">
      <c r="A2" s="345">
        <f>'Solution-based'!D3-1</f>
        <v>0</v>
      </c>
      <c r="B2" s="819" t="s">
        <v>1</v>
      </c>
      <c r="C2" s="820"/>
      <c r="D2" s="649">
        <f>HLOOKUP(A2,'Pricelist AUD'!F118:N119,2,0)</f>
        <v>0</v>
      </c>
      <c r="E2" s="815"/>
      <c r="F2" s="816"/>
    </row>
    <row r="3" spans="1:6" ht="20.100000000000001" customHeight="1">
      <c r="A3" s="107"/>
      <c r="B3" s="825" t="s">
        <v>152</v>
      </c>
      <c r="C3" s="826"/>
      <c r="D3" s="54" t="str">
        <f>'Solution-based'!E4</f>
        <v>G1</v>
      </c>
      <c r="E3" s="813"/>
      <c r="F3" s="814"/>
    </row>
    <row r="4" spans="1:6" ht="17.45">
      <c r="A4" s="108"/>
      <c r="B4" s="821" t="s">
        <v>153</v>
      </c>
      <c r="C4" s="822"/>
      <c r="D4" s="13" t="s">
        <v>6</v>
      </c>
      <c r="E4" s="13" t="s">
        <v>7</v>
      </c>
      <c r="F4" s="13" t="s">
        <v>154</v>
      </c>
    </row>
    <row r="5" spans="1:6">
      <c r="A5" s="827" t="s">
        <v>155</v>
      </c>
      <c r="B5" s="830" t="s">
        <v>156</v>
      </c>
      <c r="C5" s="57" t="str">
        <f>'Solution-based'!C6</f>
        <v># Endpoint Security (Servers, VMs, Workstations)</v>
      </c>
      <c r="D5" s="156">
        <f>'Solution-based'!E6</f>
        <v>0</v>
      </c>
      <c r="E5" s="626" t="str">
        <f>IF(D5&gt;0,IF($A$2=1,SUMIFS('Pricelist AUD'!$G$3:$G$112,'Pricelist AUD'!$O$3:$O$112,'Calculator +1 tier'!$C5),IF($A$2=2,SUMIFS('Pricelist AUD'!$H$3:$H$112,'Pricelist AUD'!$O$3:$O$112,'Calculator +1 tier'!$C5),IF($A$2=3,SUMIFS('Pricelist AUD'!$I$3:$I$112,'Pricelist AUD'!$O$3:$O$112,'Calculator +1 tier'!$C5),IF($A$2=4,SUMIFS('Pricelist AUD'!$J$3:$J$112,'Pricelist AUD'!$O$3:$O$112,'Calculator +1 tier'!$C5),IF($A$2=5,SUMIFS('Pricelist AUD'!$K$3:$K$112,'Pricelist AUD'!$O$3:$O$112,'Calculator +1 tier'!$C5),IF($A$2=6,SUMIFS('Pricelist AUD'!$L$3:$L$112,'Pricelist AUD'!$O$3:$O$112,'Calculator +1 tier'!$C5),IF($A$2=7,SUMIFS('Pricelist AUD'!$M$3:$M$112,'Pricelist AUD'!$O$3:$O$112,'Calculator +1 tier'!$C5),IF($A$2=8,SUMIFS('Pricelist AUD'!$N$3:$N$112,'Pricelist AUD'!$O$3:$O$112,'Calculator +1 tier'!$C5),"")))))))),"")</f>
        <v/>
      </c>
      <c r="F5" s="627" t="str">
        <f>IFERROR(D5*E5,"")</f>
        <v/>
      </c>
    </row>
    <row r="6" spans="1:6">
      <c r="A6" s="828"/>
      <c r="B6" s="800"/>
      <c r="C6" s="161" t="str">
        <f>'Solution-based'!C7</f>
        <v># Microsoft 365 Security</v>
      </c>
      <c r="D6" s="155">
        <f>'Solution-based'!E7</f>
        <v>0</v>
      </c>
      <c r="E6" s="626" t="str">
        <f>IF(D6&gt;0,IF($A$2=1,SUMIFS('Pricelist AUD'!$G$3:$G$112,'Pricelist AUD'!$O$3:$O$112,'Calculator +1 tier'!$C6),IF($A$2=2,SUMIFS('Pricelist AUD'!$H$3:$H$112,'Pricelist AUD'!$O$3:$O$112,'Calculator +1 tier'!$C6),IF($A$2=3,SUMIFS('Pricelist AUD'!$I$3:$I$112,'Pricelist AUD'!$O$3:$O$112,'Calculator +1 tier'!$C6),IF($A$2=4,SUMIFS('Pricelist AUD'!$J$3:$J$112,'Pricelist AUD'!$O$3:$O$112,'Calculator +1 tier'!$C6),IF($A$2=5,SUMIFS('Pricelist AUD'!$K$3:$K$112,'Pricelist AUD'!$O$3:$O$112,'Calculator +1 tier'!$C6),IF($A$2=6,SUMIFS('Pricelist AUD'!$L$3:$L$112,'Pricelist AUD'!$O$3:$O$112,'Calculator +1 tier'!$C6),IF($A$2=7,SUMIFS('Pricelist AUD'!$M$3:$M$112,'Pricelist AUD'!$O$3:$O$112,'Calculator +1 tier'!$C6),IF($A$2=8,SUMIFS('Pricelist AUD'!$N$3:$N$112,'Pricelist AUD'!$O$3:$O$112,'Calculator +1 tier'!$C6),"")))))))),"")</f>
        <v/>
      </c>
      <c r="F6" s="627" t="str">
        <f t="shared" ref="F6:F28" si="0">IFERROR(D6*E6,"")</f>
        <v/>
      </c>
    </row>
    <row r="7" spans="1:6">
      <c r="A7" s="828"/>
      <c r="B7" s="800"/>
      <c r="C7" s="57" t="str">
        <f>'Solution-based'!C8</f>
        <v># Google Workspace Security</v>
      </c>
      <c r="D7" s="156">
        <f>'Solution-based'!E8</f>
        <v>0</v>
      </c>
      <c r="E7" s="626" t="str">
        <f>IF(D7&gt;0,IF($A$2=1,SUMIFS('Pricelist AUD'!$G$3:$G$112,'Pricelist AUD'!$O$3:$O$112,'Calculator +1 tier'!$C7),IF($A$2=2,SUMIFS('Pricelist AUD'!$H$3:$H$112,'Pricelist AUD'!$O$3:$O$112,'Calculator +1 tier'!$C7),IF($A$2=3,SUMIFS('Pricelist AUD'!$I$3:$I$112,'Pricelist AUD'!$O$3:$O$112,'Calculator +1 tier'!$C7),IF($A$2=4,SUMIFS('Pricelist AUD'!$J$3:$J$112,'Pricelist AUD'!$O$3:$O$112,'Calculator +1 tier'!$C7),IF($A$2=5,SUMIFS('Pricelist AUD'!$K$3:$K$112,'Pricelist AUD'!$O$3:$O$112,'Calculator +1 tier'!$C7),IF($A$2=6,SUMIFS('Pricelist AUD'!$L$3:$L$112,'Pricelist AUD'!$O$3:$O$112,'Calculator +1 tier'!$C7),IF($A$2=7,SUMIFS('Pricelist AUD'!$M$3:$M$112,'Pricelist AUD'!$O$3:$O$112,'Calculator +1 tier'!$C7),IF($A$2=8,SUMIFS('Pricelist AUD'!$N$3:$N$112,'Pricelist AUD'!$O$3:$O$112,'Calculator +1 tier'!$C7),"")))))))),"")</f>
        <v/>
      </c>
      <c r="F7" s="627" t="str">
        <f t="shared" si="0"/>
        <v/>
      </c>
    </row>
    <row r="8" spans="1:6">
      <c r="A8" s="828"/>
      <c r="B8" s="800" t="s">
        <v>157</v>
      </c>
      <c r="C8" s="161" t="str">
        <f>'Solution-based'!C9</f>
        <v># BDR Server (3 TB of Acronis Hosted Storage included)</v>
      </c>
      <c r="D8" s="155">
        <f>'Solution-based'!E9</f>
        <v>0</v>
      </c>
      <c r="E8" s="626" t="str">
        <f>IF(D8&gt;0,IF($A$2=1,SUMIFS('Pricelist AUD'!$G$3:$G$112,'Pricelist AUD'!$O$3:$O$112,'Calculator +1 tier'!$C8,'Pricelist AUD'!$E$3:$E$112,$D$3),IF($A$2=2,SUMIFS('Pricelist AUD'!$H$3:$H$112,'Pricelist AUD'!$O$3:$O$112,'Calculator +1 tier'!$C8,'Pricelist AUD'!$E$3:$E$112,$D$3),IF($A$2=3,SUMIFS('Pricelist AUD'!$I$3:$I$112,'Pricelist AUD'!$O$3:$O$112,'Calculator +1 tier'!$C8,'Pricelist AUD'!$E$3:$E$112,$D$3),IF($A$2=4,SUMIFS('Pricelist AUD'!$J$3:$J$112,'Pricelist AUD'!$O$3:$O$112,'Calculator +1 tier'!$C8,'Pricelist AUD'!$E$3:$E$112,$D$3),IF($A$2=5,SUMIFS('Pricelist AUD'!$K$3:$K$112,'Pricelist AUD'!$O$3:$O$112,'Calculator +1 tier'!$C8,'Pricelist AUD'!$E$3:$E$112,$D$3),IF($A$2=6,SUMIFS('Pricelist AUD'!$L$3:$L$112,'Pricelist AUD'!$O$3:$O$112,'Calculator +1 tier'!$C8,'Pricelist AUD'!$E$3:$E$112,$D$3),IF($A$2=7,SUMIFS('Pricelist AUD'!$M$3:$M$112,'Pricelist AUD'!$O$3:$O$112,'Calculator +1 tier'!$C8,'Pricelist AUD'!$E$3:$E$112,$D$3),IF($A$2=8,SUMIFS('Pricelist AUD'!$N$3:$N$112,'Pricelist AUD'!$O$3:$O$112,'Calculator +1 tier'!$C8,'Pricelist AUD'!$E$3:$E$112,$D$3),"")))))))),"")</f>
        <v/>
      </c>
      <c r="F8" s="627" t="str">
        <f t="shared" si="0"/>
        <v/>
      </c>
    </row>
    <row r="9" spans="1:6">
      <c r="A9" s="828"/>
      <c r="B9" s="800"/>
      <c r="C9" s="57" t="str">
        <f>'Solution-based'!C10</f>
        <v># BDR Virtual Machine (2 TB of Acronis Hosted Storage included)</v>
      </c>
      <c r="D9" s="156">
        <f>'Solution-based'!E10</f>
        <v>0</v>
      </c>
      <c r="E9" s="626" t="str">
        <f>IF(D9&gt;0,IF($A$2=1,SUMIFS('Pricelist AUD'!$G$3:$G$112,'Pricelist AUD'!$O$3:$O$112,'Calculator +1 tier'!$C9,'Pricelist AUD'!$E$3:$E$112,$D$3),IF($A$2=2,SUMIFS('Pricelist AUD'!$H$3:$H$112,'Pricelist AUD'!$O$3:$O$112,'Calculator +1 tier'!$C9,'Pricelist AUD'!$E$3:$E$112,$D$3),IF($A$2=3,SUMIFS('Pricelist AUD'!$I$3:$I$112,'Pricelist AUD'!$O$3:$O$112,'Calculator +1 tier'!$C9,'Pricelist AUD'!$E$3:$E$112,$D$3),IF($A$2=4,SUMIFS('Pricelist AUD'!$J$3:$J$112,'Pricelist AUD'!$O$3:$O$112,'Calculator +1 tier'!$C9,'Pricelist AUD'!$E$3:$E$112,$D$3),IF($A$2=5,SUMIFS('Pricelist AUD'!$K$3:$K$112,'Pricelist AUD'!$O$3:$O$112,'Calculator +1 tier'!$C9,'Pricelist AUD'!$E$3:$E$112,$D$3),IF($A$2=6,SUMIFS('Pricelist AUD'!$L$3:$L$112,'Pricelist AUD'!$O$3:$O$112,'Calculator +1 tier'!$C9,'Pricelist AUD'!$E$3:$E$112,$D$3),IF($A$2=7,SUMIFS('Pricelist AUD'!$M$3:$M$112,'Pricelist AUD'!$O$3:$O$112,'Calculator +1 tier'!$C9,'Pricelist AUD'!$E$3:$E$112,$D$3),IF($A$2=8,SUMIFS('Pricelist AUD'!$N$3:$N$112,'Pricelist AUD'!$O$3:$O$112,'Calculator +1 tier'!$C9,'Pricelist AUD'!$E$3:$E$112,$D$3),"")))))))),"")</f>
        <v/>
      </c>
      <c r="F9" s="627" t="str">
        <f t="shared" si="0"/>
        <v/>
      </c>
    </row>
    <row r="10" spans="1:6">
      <c r="A10" s="828"/>
      <c r="B10" s="800"/>
      <c r="C10" s="161" t="str">
        <f>'Solution-based'!C11</f>
        <v># BDR Workstation (300 GB of Acronis Hosted Storage included)</v>
      </c>
      <c r="D10" s="155">
        <f>'Solution-based'!E11</f>
        <v>0</v>
      </c>
      <c r="E10" s="626" t="str">
        <f>IF(D10&gt;0,IF($A$2=1,SUMIFS('Pricelist AUD'!$G$3:$G$112,'Pricelist AUD'!$O$3:$O$112,'Calculator +1 tier'!$C10,'Pricelist AUD'!$E$3:$E$112,$D$3),IF($A$2=2,SUMIFS('Pricelist AUD'!$H$3:$H$112,'Pricelist AUD'!$O$3:$O$112,'Calculator +1 tier'!$C10,'Pricelist AUD'!$E$3:$E$112,$D$3),IF($A$2=3,SUMIFS('Pricelist AUD'!$I$3:$I$112,'Pricelist AUD'!$O$3:$O$112,'Calculator +1 tier'!$C10,'Pricelist AUD'!$E$3:$E$112,$D$3),IF($A$2=4,SUMIFS('Pricelist AUD'!$J$3:$J$112,'Pricelist AUD'!$O$3:$O$112,'Calculator +1 tier'!$C10,'Pricelist AUD'!$E$3:$E$112,$D$3),IF($A$2=5,SUMIFS('Pricelist AUD'!$K$3:$K$112,'Pricelist AUD'!$O$3:$O$112,'Calculator +1 tier'!$C10,'Pricelist AUD'!$E$3:$E$112,$D$3),IF($A$2=6,SUMIFS('Pricelist AUD'!$L$3:$L$112,'Pricelist AUD'!$O$3:$O$112,'Calculator +1 tier'!$C10,'Pricelist AUD'!$E$3:$E$112,$D$3),IF($A$2=7,SUMIFS('Pricelist AUD'!$M$3:$M$112,'Pricelist AUD'!$O$3:$O$112,'Calculator +1 tier'!$C10,'Pricelist AUD'!$E$3:$E$112,$D$3),IF($A$2=8,SUMIFS('Pricelist AUD'!$N$3:$N$112,'Pricelist AUD'!$O$3:$O$112,'Calculator +1 tier'!$C10,'Pricelist AUD'!$E$3:$E$112,$D$3),"")))))))),"")</f>
        <v/>
      </c>
      <c r="F10" s="627" t="str">
        <f t="shared" si="0"/>
        <v/>
      </c>
    </row>
    <row r="11" spans="1:6">
      <c r="A11" s="828"/>
      <c r="B11" s="800"/>
      <c r="C11" s="162" t="str">
        <f>'Solution-based'!C12</f>
        <v># Microsoft 365 Backup + Archiving (unlimited Acronis Hosted Cloud Storage included*)</v>
      </c>
      <c r="D11" s="156">
        <f>'Solution-based'!E12</f>
        <v>0</v>
      </c>
      <c r="E11" s="626" t="str">
        <f>IF(D11&gt;0,IF($A$2=1,SUMIFS('Pricelist AUD'!$G$3:$G$112,'Pricelist AUD'!$O$3:$O$112,'Calculator +1 tier'!$C11,'Pricelist AUD'!$E$3:$E$112,$D$3),IF($A$2=2,SUMIFS('Pricelist AUD'!$H$3:$H$112,'Pricelist AUD'!$O$3:$O$112,'Calculator +1 tier'!$C11,'Pricelist AUD'!$E$3:$E$112,$D$3),IF($A$2=3,SUMIFS('Pricelist AUD'!$I$3:$I$112,'Pricelist AUD'!$O$3:$O$112,'Calculator +1 tier'!$C11,'Pricelist AUD'!$E$3:$E$112,$D$3),IF($A$2=4,SUMIFS('Pricelist AUD'!$J$3:$J$112,'Pricelist AUD'!$O$3:$O$112,'Calculator +1 tier'!$C11,'Pricelist AUD'!$E$3:$E$112,$D$3),IF($A$2=5,SUMIFS('Pricelist AUD'!$K$3:$K$112,'Pricelist AUD'!$O$3:$O$112,'Calculator +1 tier'!$C11,'Pricelist AUD'!$E$3:$E$112,$D$3),IF($A$2=6,SUMIFS('Pricelist AUD'!$L$3:$L$112,'Pricelist AUD'!$O$3:$O$112,'Calculator +1 tier'!$C11,'Pricelist AUD'!$E$3:$E$112,$D$3),IF($A$2=7,SUMIFS('Pricelist AUD'!$M$3:$M$112,'Pricelist AUD'!$O$3:$O$112,'Calculator +1 tier'!$C11,'Pricelist AUD'!$E$3:$E$112,$D$3),IF($A$2=8,SUMIFS('Pricelist AUD'!$N$3:$N$112,'Pricelist AUD'!$O$3:$O$112,'Calculator +1 tier'!$C11,'Pricelist AUD'!$E$3:$E$112,$D$3),"")))))))),"")</f>
        <v/>
      </c>
      <c r="F11" s="627" t="str">
        <f t="shared" si="0"/>
        <v/>
      </c>
    </row>
    <row r="12" spans="1:6">
      <c r="A12" s="828"/>
      <c r="B12" s="800"/>
      <c r="C12" s="161" t="str">
        <f>'Solution-based'!C13</f>
        <v># Google Workspace Backup (unlimited Acronis Hosted Cloud Storage included*)</v>
      </c>
      <c r="D12" s="155">
        <f>'Solution-based'!E13</f>
        <v>0</v>
      </c>
      <c r="E12" s="626" t="str">
        <f>IF(D12&gt;0,IF($A$2=1,SUMIFS('Pricelist AUD'!$G$3:$G$112,'Pricelist AUD'!$O$3:$O$112,'Calculator +1 tier'!$C12,'Pricelist AUD'!$E$3:$E$112,$D$3),IF($A$2=2,SUMIFS('Pricelist AUD'!$H$3:$H$112,'Pricelist AUD'!$O$3:$O$112,'Calculator +1 tier'!$C12,'Pricelist AUD'!$E$3:$E$112,$D$3),IF($A$2=3,SUMIFS('Pricelist AUD'!$I$3:$I$112,'Pricelist AUD'!$O$3:$O$112,'Calculator +1 tier'!$C12,'Pricelist AUD'!$E$3:$E$112,$D$3),IF($A$2=4,SUMIFS('Pricelist AUD'!$J$3:$J$112,'Pricelist AUD'!$O$3:$O$112,'Calculator +1 tier'!$C12,'Pricelist AUD'!$E$3:$E$112,$D$3),IF($A$2=5,SUMIFS('Pricelist AUD'!$K$3:$K$112,'Pricelist AUD'!$O$3:$O$112,'Calculator +1 tier'!$C12,'Pricelist AUD'!$E$3:$E$112,$D$3),IF($A$2=6,SUMIFS('Pricelist AUD'!$L$3:$L$112,'Pricelist AUD'!$O$3:$O$112,'Calculator +1 tier'!$C12,'Pricelist AUD'!$E$3:$E$112,$D$3),IF($A$2=7,SUMIFS('Pricelist AUD'!$M$3:$M$112,'Pricelist AUD'!$O$3:$O$112,'Calculator +1 tier'!$C12,'Pricelist AUD'!$E$3:$E$112,$D$3),IF($A$2=8,SUMIFS('Pricelist AUD'!$N$3:$N$112,'Pricelist AUD'!$O$3:$O$112,'Calculator +1 tier'!$C12,'Pricelist AUD'!$E$3:$E$112,$D$3),"")))))))),"")</f>
        <v/>
      </c>
      <c r="F12" s="627" t="str">
        <f t="shared" si="0"/>
        <v/>
      </c>
    </row>
    <row r="13" spans="1:6">
      <c r="A13" s="828"/>
      <c r="B13" s="800"/>
      <c r="C13" s="57" t="str">
        <f>'Solution-based'!C14</f>
        <v># Website Backup (50 GB of Acronis Hosted Storage included)</v>
      </c>
      <c r="D13" s="156">
        <f>'Solution-based'!E14</f>
        <v>0</v>
      </c>
      <c r="E13" s="626" t="str">
        <f>IF(D13&gt;0,IF($A$2=1,SUMIFS('Pricelist AUD'!$G$3:$G$112,'Pricelist AUD'!$O$3:$O$112,'Calculator +1 tier'!$C13,'Pricelist AUD'!$E$3:$E$112,$D$3),IF($A$2=2,SUMIFS('Pricelist AUD'!$H$3:$H$112,'Pricelist AUD'!$O$3:$O$112,'Calculator +1 tier'!$C13,'Pricelist AUD'!$E$3:$E$112,$D$3),IF($A$2=3,SUMIFS('Pricelist AUD'!$I$3:$I$112,'Pricelist AUD'!$O$3:$O$112,'Calculator +1 tier'!$C13,'Pricelist AUD'!$E$3:$E$112,$D$3),IF($A$2=4,SUMIFS('Pricelist AUD'!$J$3:$J$112,'Pricelist AUD'!$O$3:$O$112,'Calculator +1 tier'!$C13,'Pricelist AUD'!$E$3:$E$112,$D$3),IF($A$2=5,SUMIFS('Pricelist AUD'!$K$3:$K$112,'Pricelist AUD'!$O$3:$O$112,'Calculator +1 tier'!$C13,'Pricelist AUD'!$E$3:$E$112,$D$3),IF($A$2=6,SUMIFS('Pricelist AUD'!$L$3:$L$112,'Pricelist AUD'!$O$3:$O$112,'Calculator +1 tier'!$C13,'Pricelist AUD'!$E$3:$E$112,$D$3),IF($A$2=7,SUMIFS('Pricelist AUD'!$M$3:$M$112,'Pricelist AUD'!$O$3:$O$112,'Calculator +1 tier'!$C13,'Pricelist AUD'!$E$3:$E$112,$D$3),IF($A$2=8,SUMIFS('Pricelist AUD'!$N$3:$N$112,'Pricelist AUD'!$O$3:$O$112,'Calculator +1 tier'!$C13,'Pricelist AUD'!$E$3:$E$112,$D$3),"")))))))),"")</f>
        <v/>
      </c>
      <c r="F13" s="627" t="str">
        <f t="shared" si="0"/>
        <v/>
      </c>
    </row>
    <row r="14" spans="1:6">
      <c r="A14" s="828"/>
      <c r="B14" s="800"/>
      <c r="C14" s="161" t="str">
        <f>'Solution-based'!C15</f>
        <v># Mobile Backup (50 GB od Acronis Hosted Storage included)</v>
      </c>
      <c r="D14" s="155">
        <f>'Solution-based'!E15</f>
        <v>0</v>
      </c>
      <c r="E14" s="626" t="str">
        <f>IF(D14&gt;0,IF($A$2=1,SUMIFS('Pricelist AUD'!$G$3:$G$112,'Pricelist AUD'!$O$3:$O$112,'Calculator +1 tier'!$C14,'Pricelist AUD'!$E$3:$E$112,$D$3),IF($A$2=2,SUMIFS('Pricelist AUD'!$H$3:$H$112,'Pricelist AUD'!$O$3:$O$112,'Calculator +1 tier'!$C14,'Pricelist AUD'!$E$3:$E$112,$D$3),IF($A$2=3,SUMIFS('Pricelist AUD'!$I$3:$I$112,'Pricelist AUD'!$O$3:$O$112,'Calculator +1 tier'!$C14,'Pricelist AUD'!$E$3:$E$112,$D$3),IF($A$2=4,SUMIFS('Pricelist AUD'!$J$3:$J$112,'Pricelist AUD'!$O$3:$O$112,'Calculator +1 tier'!$C14,'Pricelist AUD'!$E$3:$E$112,$D$3),IF($A$2=5,SUMIFS('Pricelist AUD'!$K$3:$K$112,'Pricelist AUD'!$O$3:$O$112,'Calculator +1 tier'!$C14,'Pricelist AUD'!$E$3:$E$112,$D$3),IF($A$2=6,SUMIFS('Pricelist AUD'!$L$3:$L$112,'Pricelist AUD'!$O$3:$O$112,'Calculator +1 tier'!$C14,'Pricelist AUD'!$E$3:$E$112,$D$3),IF($A$2=7,SUMIFS('Pricelist AUD'!$M$3:$M$112,'Pricelist AUD'!$O$3:$O$112,'Calculator +1 tier'!$C14,'Pricelist AUD'!$E$3:$E$112,$D$3),IF($A$2=8,SUMIFS('Pricelist AUD'!$N$3:$N$112,'Pricelist AUD'!$O$3:$O$112,'Calculator +1 tier'!$C14,'Pricelist AUD'!$E$3:$E$112,$D$3),"")))))))),"")</f>
        <v/>
      </c>
      <c r="F14" s="627" t="str">
        <f t="shared" si="0"/>
        <v/>
      </c>
    </row>
    <row r="15" spans="1:6">
      <c r="A15" s="828"/>
      <c r="B15" s="800" t="s">
        <v>158</v>
      </c>
      <c r="C15" s="57" t="str">
        <f>'Solution-based'!C16</f>
        <v># Ultimate Server (3 TB of Acronis Hosted Storage included)</v>
      </c>
      <c r="D15" s="156">
        <f>'Solution-based'!E16</f>
        <v>0</v>
      </c>
      <c r="E15" s="626" t="str">
        <f>IF(D15&gt;0,IF($A$2=1,SUMIFS('Pricelist AUD'!$G$3:$G$112,'Pricelist AUD'!$O$3:$O$112,'Calculator +1 tier'!$C15,'Pricelist AUD'!$E$3:$E$112,$D$3),IF($A$2=2,SUMIFS('Pricelist AUD'!$H$3:$H$112,'Pricelist AUD'!$O$3:$O$112,'Calculator +1 tier'!$C15,'Pricelist AUD'!$E$3:$E$112,$D$3),IF($A$2=3,SUMIFS('Pricelist AUD'!$I$3:$I$112,'Pricelist AUD'!$O$3:$O$112,'Calculator +1 tier'!$C15,'Pricelist AUD'!$E$3:$E$112,$D$3),IF($A$2=4,SUMIFS('Pricelist AUD'!$J$3:$J$112,'Pricelist AUD'!$O$3:$O$112,'Calculator +1 tier'!$C15,'Pricelist AUD'!$E$3:$E$112,$D$3),IF($A$2=5,SUMIFS('Pricelist AUD'!$K$3:$K$112,'Pricelist AUD'!$O$3:$O$112,'Calculator +1 tier'!$C15,'Pricelist AUD'!$E$3:$E$112,$D$3),IF($A$2=6,SUMIFS('Pricelist AUD'!$L$3:$L$112,'Pricelist AUD'!$O$3:$O$112,'Calculator +1 tier'!$C15,'Pricelist AUD'!$E$3:$E$112,$D$3),IF($A$2=7,SUMIFS('Pricelist AUD'!$M$3:$M$112,'Pricelist AUD'!$O$3:$O$112,'Calculator +1 tier'!$C15,'Pricelist AUD'!$E$3:$E$112,$D$3),IF($A$2=8,SUMIFS('Pricelist AUD'!$N$3:$N$112,'Pricelist AUD'!$O$3:$O$112,'Calculator +1 tier'!$C15,'Pricelist AUD'!$E$3:$E$112,$D$3),"")))))))),"")</f>
        <v/>
      </c>
      <c r="F15" s="627" t="str">
        <f t="shared" si="0"/>
        <v/>
      </c>
    </row>
    <row r="16" spans="1:6">
      <c r="A16" s="828"/>
      <c r="B16" s="800"/>
      <c r="C16" s="161" t="str">
        <f>'Solution-based'!C17</f>
        <v># Ultimate Virtual Machine (2 TB of Acronis Hosted Storage included)</v>
      </c>
      <c r="D16" s="155">
        <f>'Solution-based'!E17</f>
        <v>0</v>
      </c>
      <c r="E16" s="626" t="str">
        <f>IF(D16&gt;0,IF($A$2=1,SUMIFS('Pricelist AUD'!$G$3:$G$112,'Pricelist AUD'!$O$3:$O$112,'Calculator +1 tier'!$C16,'Pricelist AUD'!$E$3:$E$112,$D$3),IF($A$2=2,SUMIFS('Pricelist AUD'!$H$3:$H$112,'Pricelist AUD'!$O$3:$O$112,'Calculator +1 tier'!$C16,'Pricelist AUD'!$E$3:$E$112,$D$3),IF($A$2=3,SUMIFS('Pricelist AUD'!$I$3:$I$112,'Pricelist AUD'!$O$3:$O$112,'Calculator +1 tier'!$C16,'Pricelist AUD'!$E$3:$E$112,$D$3),IF($A$2=4,SUMIFS('Pricelist AUD'!$J$3:$J$112,'Pricelist AUD'!$O$3:$O$112,'Calculator +1 tier'!$C16,'Pricelist AUD'!$E$3:$E$112,$D$3),IF($A$2=5,SUMIFS('Pricelist AUD'!$K$3:$K$112,'Pricelist AUD'!$O$3:$O$112,'Calculator +1 tier'!$C16,'Pricelist AUD'!$E$3:$E$112,$D$3),IF($A$2=6,SUMIFS('Pricelist AUD'!$L$3:$L$112,'Pricelist AUD'!$O$3:$O$112,'Calculator +1 tier'!$C16,'Pricelist AUD'!$E$3:$E$112,$D$3),IF($A$2=7,SUMIFS('Pricelist AUD'!$M$3:$M$112,'Pricelist AUD'!$O$3:$O$112,'Calculator +1 tier'!$C16,'Pricelist AUD'!$E$3:$E$112,$D$3),IF($A$2=8,SUMIFS('Pricelist AUD'!$N$3:$N$112,'Pricelist AUD'!$O$3:$O$112,'Calculator +1 tier'!$C16,'Pricelist AUD'!$E$3:$E$112,$D$3),"")))))))),"")</f>
        <v/>
      </c>
      <c r="F16" s="627" t="str">
        <f t="shared" si="0"/>
        <v/>
      </c>
    </row>
    <row r="17" spans="1:6">
      <c r="A17" s="828"/>
      <c r="B17" s="800"/>
      <c r="C17" s="57" t="str">
        <f>'Solution-based'!C18</f>
        <v># Ultimate Workstation (300 GB of Acronis Hosted Storage included)</v>
      </c>
      <c r="D17" s="156">
        <f>'Solution-based'!E18</f>
        <v>0</v>
      </c>
      <c r="E17" s="626" t="str">
        <f>IF(D17&gt;0,IF($A$2=1,SUMIFS('Pricelist AUD'!$G$3:$G$112,'Pricelist AUD'!$O$3:$O$112,'Calculator +1 tier'!$C17,'Pricelist AUD'!$E$3:$E$112,$D$3),IF($A$2=2,SUMIFS('Pricelist AUD'!$H$3:$H$112,'Pricelist AUD'!$O$3:$O$112,'Calculator +1 tier'!$C17,'Pricelist AUD'!$E$3:$E$112,$D$3),IF($A$2=3,SUMIFS('Pricelist AUD'!$I$3:$I$112,'Pricelist AUD'!$O$3:$O$112,'Calculator +1 tier'!$C17,'Pricelist AUD'!$E$3:$E$112,$D$3),IF($A$2=4,SUMIFS('Pricelist AUD'!$J$3:$J$112,'Pricelist AUD'!$O$3:$O$112,'Calculator +1 tier'!$C17,'Pricelist AUD'!$E$3:$E$112,$D$3),IF($A$2=5,SUMIFS('Pricelist AUD'!$K$3:$K$112,'Pricelist AUD'!$O$3:$O$112,'Calculator +1 tier'!$C17,'Pricelist AUD'!$E$3:$E$112,$D$3),IF($A$2=6,SUMIFS('Pricelist AUD'!$L$3:$L$112,'Pricelist AUD'!$O$3:$O$112,'Calculator +1 tier'!$C17,'Pricelist AUD'!$E$3:$E$112,$D$3),IF($A$2=7,SUMIFS('Pricelist AUD'!$M$3:$M$112,'Pricelist AUD'!$O$3:$O$112,'Calculator +1 tier'!$C17,'Pricelist AUD'!$E$3:$E$112,$D$3),IF($A$2=8,SUMIFS('Pricelist AUD'!$N$3:$N$112,'Pricelist AUD'!$O$3:$O$112,'Calculator +1 tier'!$C17,'Pricelist AUD'!$E$3:$E$112,$D$3),"")))))))),"")</f>
        <v/>
      </c>
      <c r="F17" s="627" t="str">
        <f t="shared" si="0"/>
        <v/>
      </c>
    </row>
    <row r="18" spans="1:6">
      <c r="A18" s="828"/>
      <c r="B18" s="800"/>
      <c r="C18" s="161" t="str">
        <f>'Solution-based'!C19</f>
        <v># Ultimate Microsoft 365 (unlimited Acronis Hosted Cloud Storage included*)</v>
      </c>
      <c r="D18" s="155">
        <f>'Solution-based'!E19</f>
        <v>0</v>
      </c>
      <c r="E18" s="626" t="str">
        <f>IF(D18&gt;0,IF($A$2=1,SUMIFS('Pricelist AUD'!$G$3:$G$112,'Pricelist AUD'!$O$3:$O$112,'Calculator +1 tier'!$C18,'Pricelist AUD'!$E$3:$E$112,$D$3),IF($A$2=2,SUMIFS('Pricelist AUD'!$H$3:$H$112,'Pricelist AUD'!$O$3:$O$112,'Calculator +1 tier'!$C18,'Pricelist AUD'!$E$3:$E$112,$D$3),IF($A$2=3,SUMIFS('Pricelist AUD'!$I$3:$I$112,'Pricelist AUD'!$O$3:$O$112,'Calculator +1 tier'!$C18,'Pricelist AUD'!$E$3:$E$112,$D$3),IF($A$2=4,SUMIFS('Pricelist AUD'!$J$3:$J$112,'Pricelist AUD'!$O$3:$O$112,'Calculator +1 tier'!$C18,'Pricelist AUD'!$E$3:$E$112,$D$3),IF($A$2=5,SUMIFS('Pricelist AUD'!$K$3:$K$112,'Pricelist AUD'!$O$3:$O$112,'Calculator +1 tier'!$C18,'Pricelist AUD'!$E$3:$E$112,$D$3),IF($A$2=6,SUMIFS('Pricelist AUD'!$L$3:$L$112,'Pricelist AUD'!$O$3:$O$112,'Calculator +1 tier'!$C18,'Pricelist AUD'!$E$3:$E$112,$D$3),IF($A$2=7,SUMIFS('Pricelist AUD'!$M$3:$M$112,'Pricelist AUD'!$O$3:$O$112,'Calculator +1 tier'!$C18,'Pricelist AUD'!$E$3:$E$112,$D$3),IF($A$2=8,SUMIFS('Pricelist AUD'!$N$3:$N$112,'Pricelist AUD'!$O$3:$O$112,'Calculator +1 tier'!$C18,'Pricelist AUD'!$E$3:$E$112,$D$3),"")))))))),"")</f>
        <v/>
      </c>
      <c r="F18" s="627" t="str">
        <f t="shared" si="0"/>
        <v/>
      </c>
    </row>
    <row r="19" spans="1:6">
      <c r="A19" s="828"/>
      <c r="B19" s="800"/>
      <c r="C19" s="162" t="str">
        <f>'Solution-based'!C20</f>
        <v># Ultimate Google Workspace (unlimited Acronis Hosted Cloud Storage included*)</v>
      </c>
      <c r="D19" s="156">
        <f>'Solution-based'!E20</f>
        <v>0</v>
      </c>
      <c r="E19" s="626" t="str">
        <f>IF(D19&gt;0,IF($A$2=1,SUMIFS('Pricelist AUD'!$G$3:$G$112,'Pricelist AUD'!$O$3:$O$112,'Calculator +1 tier'!$C19,'Pricelist AUD'!$E$3:$E$112,$D$3),IF($A$2=2,SUMIFS('Pricelist AUD'!$H$3:$H$112,'Pricelist AUD'!$O$3:$O$112,'Calculator +1 tier'!$C19,'Pricelist AUD'!$E$3:$E$112,$D$3),IF($A$2=3,SUMIFS('Pricelist AUD'!$I$3:$I$112,'Pricelist AUD'!$O$3:$O$112,'Calculator +1 tier'!$C19,'Pricelist AUD'!$E$3:$E$112,$D$3),IF($A$2=4,SUMIFS('Pricelist AUD'!$J$3:$J$112,'Pricelist AUD'!$O$3:$O$112,'Calculator +1 tier'!$C19,'Pricelist AUD'!$E$3:$E$112,$D$3),IF($A$2=5,SUMIFS('Pricelist AUD'!$K$3:$K$112,'Pricelist AUD'!$O$3:$O$112,'Calculator +1 tier'!$C19,'Pricelist AUD'!$E$3:$E$112,$D$3),IF($A$2=6,SUMIFS('Pricelist AUD'!$L$3:$L$112,'Pricelist AUD'!$O$3:$O$112,'Calculator +1 tier'!$C19,'Pricelist AUD'!$E$3:$E$112,$D$3),IF($A$2=7,SUMIFS('Pricelist AUD'!$M$3:$M$112,'Pricelist AUD'!$O$3:$O$112,'Calculator +1 tier'!$C19,'Pricelist AUD'!$E$3:$E$112,$D$3),IF($A$2=8,SUMIFS('Pricelist AUD'!$N$3:$N$112,'Pricelist AUD'!$O$3:$O$112,'Calculator +1 tier'!$C19,'Pricelist AUD'!$E$3:$E$112,$D$3),"")))))))),"")</f>
        <v/>
      </c>
      <c r="F19" s="627" t="str">
        <f t="shared" si="0"/>
        <v/>
      </c>
    </row>
    <row r="20" spans="1:6">
      <c r="A20" s="828"/>
      <c r="B20" s="800" t="s">
        <v>28</v>
      </c>
      <c r="C20" s="159" t="str">
        <f>'Solution-based'!C21</f>
        <v># Standard MDR Workloads for Base Licensing (Servers, VMs, Workstations, Hosting Servers)</v>
      </c>
      <c r="D20" s="155">
        <f>'Solution-based'!E21</f>
        <v>0</v>
      </c>
      <c r="E20" s="626" t="str">
        <f>IF(D20&gt;0,IF($A$2=1,SUMIFS('Pricelist AUD'!$G$3:$G$112,'Pricelist AUD'!$O$3:$O$112,'Calculator +1 tier'!$C20),IF($A$2=2,SUMIFS('Pricelist AUD'!$H$3:$H$112,'Pricelist AUD'!$O$3:$O$112,'Calculator +1 tier'!$C20),IF($A$2=3,SUMIFS('Pricelist AUD'!$I$3:$I$112,'Pricelist AUD'!$O$3:$O$112,'Calculator +1 tier'!$C20),IF($A$2=4,SUMIFS('Pricelist AUD'!$J$3:$J$112,'Pricelist AUD'!$O$3:$O$112,'Calculator +1 tier'!$C20),IF($A$2=5,SUMIFS('Pricelist AUD'!$K$3:$K$112,'Pricelist AUD'!$O$3:$O$112,'Calculator +1 tier'!$C20),IF($A$2=6,SUMIFS('Pricelist AUD'!$L$3:$L$112,'Pricelist AUD'!$O$3:$O$112,'Calculator +1 tier'!$C20),IF($A$2=7,SUMIFS('Pricelist AUD'!$M$3:$M$112,'Pricelist AUD'!$O$3:$O$112,'Calculator +1 tier'!$C20),IF($A$2=8,SUMIFS('Pricelist AUD'!$N$3:$N$112,'Pricelist AUD'!$O$3:$O$112,'Calculator +1 tier'!$C20),"")))))))),"")</f>
        <v/>
      </c>
      <c r="F20" s="627" t="str">
        <f t="shared" si="0"/>
        <v/>
      </c>
    </row>
    <row r="21" spans="1:6">
      <c r="A21" s="828"/>
      <c r="B21" s="800"/>
      <c r="C21" s="57" t="str">
        <f>'Solution-based'!C22</f>
        <v># Advanced MDR Workloads for Base Licensing (Servers, VMs, Workstations, Hosting Servers)</v>
      </c>
      <c r="D21" s="156">
        <f>'Solution-based'!E22</f>
        <v>0</v>
      </c>
      <c r="E21" s="626" t="str">
        <f>IF(D21&gt;0,IF($A$2=1,SUMIFS('Pricelist AUD'!$G$3:$G$112,'Pricelist AUD'!$O$3:$O$112,'Calculator +1 tier'!$C21),IF($A$2=2,SUMIFS('Pricelist AUD'!$H$3:$H$112,'Pricelist AUD'!$O$3:$O$112,'Calculator +1 tier'!$C21),IF($A$2=3,SUMIFS('Pricelist AUD'!$I$3:$I$112,'Pricelist AUD'!$O$3:$O$112,'Calculator +1 tier'!$C21),IF($A$2=4,SUMIFS('Pricelist AUD'!$J$3:$J$112,'Pricelist AUD'!$O$3:$O$112,'Calculator +1 tier'!$C21),IF($A$2=5,SUMIFS('Pricelist AUD'!$K$3:$K$112,'Pricelist AUD'!$O$3:$O$112,'Calculator +1 tier'!$C21),IF($A$2=6,SUMIFS('Pricelist AUD'!$L$3:$L$112,'Pricelist AUD'!$O$3:$O$112,'Calculator +1 tier'!$C21),IF($A$2=7,SUMIFS('Pricelist AUD'!$M$3:$M$112,'Pricelist AUD'!$O$3:$O$112,'Calculator +1 tier'!$C21),IF($A$2=8,SUMIFS('Pricelist AUD'!$N$3:$N$112,'Pricelist AUD'!$O$3:$O$112,'Calculator +1 tier'!$C21),"")))))))),"")</f>
        <v/>
      </c>
      <c r="F21" s="627" t="str">
        <f t="shared" si="0"/>
        <v/>
      </c>
    </row>
    <row r="22" spans="1:6">
      <c r="A22" s="828"/>
      <c r="B22" s="343" t="s">
        <v>32</v>
      </c>
      <c r="C22" s="161" t="str">
        <f>'Solution-based'!C23</f>
        <v># Security Awareness Training for Solution-based Licensing (Users)</v>
      </c>
      <c r="D22" s="155">
        <f>'Solution-based'!E23</f>
        <v>0</v>
      </c>
      <c r="E22" s="626" t="str">
        <f>IF(D22&gt;0,IF($A$2=1,SUMIFS('Pricelist AUD'!$G$3:$G$112,'Pricelist AUD'!$O$3:$O$112,'Calculator +1 tier'!$C22),IF($A$2=2,SUMIFS('Pricelist AUD'!$H$3:$H$112,'Pricelist AUD'!$O$3:$O$112,'Calculator +1 tier'!$C22),IF($A$2=3,SUMIFS('Pricelist AUD'!$I$3:$I$112,'Pricelist AUD'!$O$3:$O$112,'Calculator +1 tier'!$C22),IF($A$2=4,SUMIFS('Pricelist AUD'!$J$3:$J$112,'Pricelist AUD'!$O$3:$O$112,'Calculator +1 tier'!$C22),IF($A$2=5,SUMIFS('Pricelist AUD'!$K$3:$K$112,'Pricelist AUD'!$O$3:$O$112,'Calculator +1 tier'!$C22),IF($A$2=6,SUMIFS('Pricelist AUD'!$L$3:$L$112,'Pricelist AUD'!$O$3:$O$112,'Calculator +1 tier'!$C22),IF($A$2=7,SUMIFS('Pricelist AUD'!$M$3:$M$112,'Pricelist AUD'!$O$3:$O$112,'Calculator +1 tier'!$C22),IF($A$2=8,SUMIFS('Pricelist AUD'!$N$3:$N$112,'Pricelist AUD'!$O$3:$O$112,'Calculator +1 tier'!$C22),"")))))))),"")</f>
        <v/>
      </c>
      <c r="F22" s="627" t="str">
        <f t="shared" si="0"/>
        <v/>
      </c>
    </row>
    <row r="23" spans="1:6" ht="27.95">
      <c r="A23" s="828"/>
      <c r="B23" s="343" t="s">
        <v>159</v>
      </c>
      <c r="C23" s="57" t="str">
        <f>'Solution-based'!C24</f>
        <v>Acronis Cloud Storage at Acronis Datacenter (for Solution-based Licensing overages)</v>
      </c>
      <c r="D23" s="156">
        <f>'Solution-based'!E24</f>
        <v>0</v>
      </c>
      <c r="E23" s="626" t="str">
        <f>IF(D23&gt;0,IF($A$2=1,SUMIFS('Pricelist AUD'!$G$3:$G$112,'Pricelist AUD'!$O$3:$O$112,'Calculator +1 tier'!$C23,'Pricelist AUD'!$E$3:$E$112,$D$3),IF($A$2=2,SUMIFS('Pricelist AUD'!$H$3:$H$112,'Pricelist AUD'!$O$3:$O$112,'Calculator +1 tier'!$C23,'Pricelist AUD'!$E$3:$E$112,$D$3),IF($A$2=3,SUMIFS('Pricelist AUD'!$I$3:$I$112,'Pricelist AUD'!$O$3:$O$112,'Calculator +1 tier'!$C23,'Pricelist AUD'!$E$3:$E$112,$D$3),IF($A$2=4,SUMIFS('Pricelist AUD'!$J$3:$J$112,'Pricelist AUD'!$O$3:$O$112,'Calculator +1 tier'!$C23,'Pricelist AUD'!$E$3:$E$112,$D$3),IF($A$2=5,SUMIFS('Pricelist AUD'!$K$3:$K$112,'Pricelist AUD'!$O$3:$O$112,'Calculator +1 tier'!$C23,'Pricelist AUD'!$E$3:$E$112,$D$3),IF($A$2=6,SUMIFS('Pricelist AUD'!$L$3:$L$112,'Pricelist AUD'!$O$3:$O$112,'Calculator +1 tier'!$C23,'Pricelist AUD'!$E$3:$E$112,$D$3),IF($A$2=7,SUMIFS('Pricelist AUD'!$M$3:$M$112,'Pricelist AUD'!$O$3:$O$112,'Calculator +1 tier'!$C23,'Pricelist AUD'!$E$3:$E$112,$D$3),IF($A$2=8,SUMIFS('Pricelist AUD'!$N$3:$N$112,'Pricelist AUD'!$O$3:$O$112,'Calculator +1 tier'!$C23,'Pricelist AUD'!$E$3:$E$112,$D$3),"")))))))),"")</f>
        <v/>
      </c>
      <c r="F23" s="627" t="str">
        <f t="shared" si="0"/>
        <v/>
      </c>
    </row>
    <row r="24" spans="1:6">
      <c r="A24" s="828"/>
      <c r="B24" s="800" t="s">
        <v>37</v>
      </c>
      <c r="C24" s="161" t="str">
        <f>'Solution-based'!C25</f>
        <v>Solution-based licensing - Backup Geo-redundant - Acronis Hosted Storage</v>
      </c>
      <c r="D24" s="155">
        <f>'Solution-based'!E25</f>
        <v>0</v>
      </c>
      <c r="E24" s="626" t="str">
        <f>IF(D24&gt;0,IF($A$2=1,SUMIFS('Pricelist AUD'!$G$3:$G$112,'Pricelist AUD'!$O$3:$O$112,'Calculator +1 tier'!$C24),IF($A$2=2,SUMIFS('Pricelist AUD'!$H$3:$H$112,'Pricelist AUD'!$O$3:$O$112,'Calculator +1 tier'!$C24),IF($A$2=3,SUMIFS('Pricelist AUD'!$I$3:$I$112,'Pricelist AUD'!$O$3:$O$112,'Calculator +1 tier'!$C24),IF($A$2=4,SUMIFS('Pricelist AUD'!$J$3:$J$112,'Pricelist AUD'!$O$3:$O$112,'Calculator +1 tier'!$C24),IF($A$2=5,SUMIFS('Pricelist AUD'!$K$3:$K$112,'Pricelist AUD'!$O$3:$O$112,'Calculator +1 tier'!$C24),IF($A$2=6,SUMIFS('Pricelist AUD'!$L$3:$L$112,'Pricelist AUD'!$O$3:$O$112,'Calculator +1 tier'!$C24),IF($A$2=7,SUMIFS('Pricelist AUD'!$M$3:$M$112,'Pricelist AUD'!$O$3:$O$112,'Calculator +1 tier'!$C24),IF($A$2=8,SUMIFS('Pricelist AUD'!$N$3:$N$112,'Pricelist AUD'!$O$3:$O$112,'Calculator +1 tier'!$C24),"")))))))),"")</f>
        <v/>
      </c>
      <c r="F24" s="627" t="str">
        <f>IFERROR(D24*E24,"")</f>
        <v/>
      </c>
    </row>
    <row r="25" spans="1:6">
      <c r="A25" s="828"/>
      <c r="B25" s="800"/>
      <c r="C25" s="57" t="str">
        <f>'Solution-based'!C26</f>
        <v>Solution-based licensing - # Geo-redundant Microsoft 365 seat (unlimited Acronis Hosted Cloud Storage included*)</v>
      </c>
      <c r="D25" s="156">
        <f>'Solution-based'!E26</f>
        <v>0</v>
      </c>
      <c r="E25" s="626" t="str">
        <f>IF(D25&gt;0,IF($A$2=1,SUMIFS('Pricelist AUD'!$G$3:$G$112,'Pricelist AUD'!$O$3:$O$112,'Calculator +1 tier'!$C25),IF($A$2=2,SUMIFS('Pricelist AUD'!$H$3:$H$112,'Pricelist AUD'!$O$3:$O$112,'Calculator +1 tier'!$C25),IF($A$2=3,SUMIFS('Pricelist AUD'!$I$3:$I$112,'Pricelist AUD'!$O$3:$O$112,'Calculator +1 tier'!$C25),IF($A$2=4,SUMIFS('Pricelist AUD'!$J$3:$J$112,'Pricelist AUD'!$O$3:$O$112,'Calculator +1 tier'!$C25),IF($A$2=5,SUMIFS('Pricelist AUD'!$K$3:$K$112,'Pricelist AUD'!$O$3:$O$112,'Calculator +1 tier'!$C25),IF($A$2=6,SUMIFS('Pricelist AUD'!$L$3:$L$112,'Pricelist AUD'!$O$3:$O$112,'Calculator +1 tier'!$C25),IF($A$2=7,SUMIFS('Pricelist AUD'!$M$3:$M$112,'Pricelist AUD'!$O$3:$O$112,'Calculator +1 tier'!$C25),IF($A$2=8,SUMIFS('Pricelist AUD'!$N$3:$N$112,'Pricelist AUD'!$O$3:$O$112,'Calculator +1 tier'!$C25),"")))))))),"")</f>
        <v/>
      </c>
      <c r="F25" s="627" t="str">
        <f t="shared" si="0"/>
        <v/>
      </c>
    </row>
    <row r="26" spans="1:6">
      <c r="A26" s="828"/>
      <c r="B26" s="800"/>
      <c r="C26" s="161" t="str">
        <f>'Solution-based'!C27</f>
        <v>Solution-based licensing - # Geo-redundant Google Workspace seat (unlimited Acronis Hosted Cloud Storage included*)</v>
      </c>
      <c r="D26" s="155">
        <f>'Solution-based'!E27</f>
        <v>0</v>
      </c>
      <c r="E26" s="626" t="str">
        <f>IF(D26&gt;0,IF($A$2=1,SUMIFS('Pricelist AUD'!$G$3:$G$112,'Pricelist AUD'!$O$3:$O$112,'Calculator +1 tier'!$C26),IF($A$2=2,SUMIFS('Pricelist AUD'!$H$3:$H$112,'Pricelist AUD'!$O$3:$O$112,'Calculator +1 tier'!$C26),IF($A$2=3,SUMIFS('Pricelist AUD'!$I$3:$I$112,'Pricelist AUD'!$O$3:$O$112,'Calculator +1 tier'!$C26),IF($A$2=4,SUMIFS('Pricelist AUD'!$J$3:$J$112,'Pricelist AUD'!$O$3:$O$112,'Calculator +1 tier'!$C26),IF($A$2=5,SUMIFS('Pricelist AUD'!$K$3:$K$112,'Pricelist AUD'!$O$3:$O$112,'Calculator +1 tier'!$C26),IF($A$2=6,SUMIFS('Pricelist AUD'!$L$3:$L$112,'Pricelist AUD'!$O$3:$O$112,'Calculator +1 tier'!$C26),IF($A$2=7,SUMIFS('Pricelist AUD'!$M$3:$M$112,'Pricelist AUD'!$O$3:$O$112,'Calculator +1 tier'!$C26),IF($A$2=8,SUMIFS('Pricelist AUD'!$N$3:$N$112,'Pricelist AUD'!$O$3:$O$112,'Calculator +1 tier'!$C26),"")))))))),"")</f>
        <v/>
      </c>
      <c r="F26" s="627" t="str">
        <f t="shared" si="0"/>
        <v/>
      </c>
    </row>
    <row r="27" spans="1:6">
      <c r="A27" s="828"/>
      <c r="B27" s="800" t="s">
        <v>38</v>
      </c>
      <c r="C27" s="162" t="str">
        <f>'Solution-based'!C28</f>
        <v>Monthly Compute Point Consumption for BDR/Ultimate</v>
      </c>
      <c r="D27" s="156" t="str">
        <f>'Solution-based'!E28</f>
        <v/>
      </c>
      <c r="E27" s="626" t="str">
        <f>IF(D27&gt;0,IF($A$2=1,SUMIFS('Pricelist AUD'!$G$3:$G$112,'Pricelist AUD'!$O$3:$O$112,'Calculator +1 tier'!$C27),IF($A$2=2,SUMIFS('Pricelist AUD'!$H$3:$H$112,'Pricelist AUD'!$O$3:$O$112,'Calculator +1 tier'!$C27),IF($A$2=3,SUMIFS('Pricelist AUD'!$I$3:$I$112,'Pricelist AUD'!$O$3:$O$112,'Calculator +1 tier'!$C27),IF($A$2=4,SUMIFS('Pricelist AUD'!$J$3:$J$112,'Pricelist AUD'!$O$3:$O$112,'Calculator +1 tier'!$C27),IF($A$2=5,SUMIFS('Pricelist AUD'!$K$3:$K$112,'Pricelist AUD'!$O$3:$O$112,'Calculator +1 tier'!$C27),IF($A$2=6,SUMIFS('Pricelist AUD'!$L$3:$L$112,'Pricelist AUD'!$O$3:$O$112,'Calculator +1 tier'!$C27),IF($A$2=7,SUMIFS('Pricelist AUD'!$M$3:$M$112,'Pricelist AUD'!$O$3:$O$112,'Calculator +1 tier'!$C27),IF($A$2=8,SUMIFS('Pricelist AUD'!$N$3:$N$112,'Pricelist AUD'!$O$3:$O$112,'Calculator +1 tier'!$C27),"")))))))),"")</f>
        <v/>
      </c>
      <c r="F27" s="627" t="str">
        <f t="shared" si="0"/>
        <v/>
      </c>
    </row>
    <row r="28" spans="1:6">
      <c r="A28" s="829"/>
      <c r="B28" s="811"/>
      <c r="C28" s="159" t="str">
        <f>'Solution-based'!C29</f>
        <v>Public IPs for BDR/Ultimate</v>
      </c>
      <c r="D28" s="160">
        <f>'Solution-based'!E29</f>
        <v>0</v>
      </c>
      <c r="E28" s="626" t="str">
        <f>IF(D28&gt;0,IF($A$2=1,SUMIFS('Pricelist AUD'!$G$3:$G$112,'Pricelist AUD'!$O$3:$O$112,'Calculator +1 tier'!$C28),IF($A$2=2,SUMIFS('Pricelist AUD'!$H$3:$H$112,'Pricelist AUD'!$O$3:$O$112,'Calculator +1 tier'!$C28),IF($A$2=3,SUMIFS('Pricelist AUD'!$I$3:$I$112,'Pricelist AUD'!$O$3:$O$112,'Calculator +1 tier'!$C28),IF($A$2=4,SUMIFS('Pricelist AUD'!$J$3:$J$112,'Pricelist AUD'!$O$3:$O$112,'Calculator +1 tier'!$C28),IF($A$2=5,SUMIFS('Pricelist AUD'!$K$3:$K$112,'Pricelist AUD'!$O$3:$O$112,'Calculator +1 tier'!$C28),IF($A$2=6,SUMIFS('Pricelist AUD'!$L$3:$L$112,'Pricelist AUD'!$O$3:$O$112,'Calculator +1 tier'!$C28),IF($A$2=7,SUMIFS('Pricelist AUD'!$M$3:$M$112,'Pricelist AUD'!$O$3:$O$112,'Calculator +1 tier'!$C28),IF($A$2=8,SUMIFS('Pricelist AUD'!$N$3:$N$112,'Pricelist AUD'!$O$3:$O$112,'Calculator +1 tier'!$C28),"")))))))),"")</f>
        <v/>
      </c>
      <c r="F28" s="627" t="str">
        <f t="shared" si="0"/>
        <v/>
      </c>
    </row>
    <row r="29" spans="1:6" ht="14.45" customHeight="1">
      <c r="A29" s="818" t="s">
        <v>160</v>
      </c>
      <c r="B29" s="812" t="s">
        <v>161</v>
      </c>
      <c r="C29" s="159" t="s">
        <v>64</v>
      </c>
      <c r="D29" s="24">
        <f>'Service-based'!E17</f>
        <v>0</v>
      </c>
      <c r="E29" s="626" t="str">
        <f>IF(D29&gt;0,IF($A$2=1,SUMIFS('Pricelist AUD'!$G$3:$G$112,'Pricelist AUD'!$O$3:$O$112,'Calculator +1 tier'!$C29),IF($A$2=2,SUMIFS('Pricelist AUD'!$H$3:$H$112,'Pricelist AUD'!$O$3:$O$112,'Calculator +1 tier'!$C29),IF($A$2=3,SUMIFS('Pricelist AUD'!$I$3:$I$112,'Pricelist AUD'!$O$3:$O$112,'Calculator +1 tier'!$C29),IF($A$2=4,SUMIFS('Pricelist AUD'!$J$3:$J$112,'Pricelist AUD'!$O$3:$O$112,'Calculator +1 tier'!$C29),IF($A$2=5,SUMIFS('Pricelist AUD'!$K$3:$K$112,'Pricelist AUD'!$O$3:$O$112,'Calculator +1 tier'!$C29),IF($A$2=6,SUMIFS('Pricelist AUD'!$L$3:$L$112,'Pricelist AUD'!$O$3:$O$112,'Calculator +1 tier'!$C29),IF($A$2=7,SUMIFS('Pricelist AUD'!$M$3:$M$112,'Pricelist AUD'!$O$3:$O$112,'Calculator +1 tier'!$C29),IF($A$2=8,SUMIFS('Pricelist AUD'!$N$3:$N$112,'Pricelist AUD'!$O$3:$O$112,'Calculator +1 tier'!$C29),"")))))))),"")</f>
        <v/>
      </c>
      <c r="F29" s="627" t="str">
        <f t="shared" ref="F29:F45" si="1">IFERROR(D29*E29,"")</f>
        <v/>
      </c>
    </row>
    <row r="30" spans="1:6" ht="14.45" customHeight="1">
      <c r="A30" s="725"/>
      <c r="B30" s="802"/>
      <c r="C30" s="57" t="s">
        <v>65</v>
      </c>
      <c r="D30" s="23">
        <f>'Service-based'!E18</f>
        <v>0</v>
      </c>
      <c r="E30" s="626" t="str">
        <f>IF(D30&gt;0,IF($A$2=1,SUMIFS('Pricelist AUD'!$G$3:$G$112,'Pricelist AUD'!$O$3:$O$112,'Calculator +1 tier'!$C30),IF($A$2=2,SUMIFS('Pricelist AUD'!$H$3:$H$112,'Pricelist AUD'!$O$3:$O$112,'Calculator +1 tier'!$C30),IF($A$2=3,SUMIFS('Pricelist AUD'!$I$3:$I$112,'Pricelist AUD'!$O$3:$O$112,'Calculator +1 tier'!$C30),IF($A$2=4,SUMIFS('Pricelist AUD'!$J$3:$J$112,'Pricelist AUD'!$O$3:$O$112,'Calculator +1 tier'!$C30),IF($A$2=5,SUMIFS('Pricelist AUD'!$K$3:$K$112,'Pricelist AUD'!$O$3:$O$112,'Calculator +1 tier'!$C30),IF($A$2=6,SUMIFS('Pricelist AUD'!$L$3:$L$112,'Pricelist AUD'!$O$3:$O$112,'Calculator +1 tier'!$C30),IF($A$2=7,SUMIFS('Pricelist AUD'!$M$3:$M$112,'Pricelist AUD'!$O$3:$O$112,'Calculator +1 tier'!$C30),IF($A$2=8,SUMIFS('Pricelist AUD'!$N$3:$N$112,'Pricelist AUD'!$O$3:$O$112,'Calculator +1 tier'!$C30),"")))))))),"")</f>
        <v/>
      </c>
      <c r="F30" s="628" t="str">
        <f t="shared" si="1"/>
        <v/>
      </c>
    </row>
    <row r="31" spans="1:6" ht="14.45" customHeight="1">
      <c r="A31" s="725"/>
      <c r="B31" s="802"/>
      <c r="C31" s="161" t="s">
        <v>66</v>
      </c>
      <c r="D31" s="24">
        <f>'Service-based'!E19</f>
        <v>0</v>
      </c>
      <c r="E31" s="626" t="str">
        <f>IF(D31&gt;0,IF($A$2=1,SUMIFS('Pricelist AUD'!$G$3:$G$112,'Pricelist AUD'!$O$3:$O$112,'Calculator +1 tier'!$C31),IF($A$2=2,SUMIFS('Pricelist AUD'!$H$3:$H$112,'Pricelist AUD'!$O$3:$O$112,'Calculator +1 tier'!$C31),IF($A$2=3,SUMIFS('Pricelist AUD'!$I$3:$I$112,'Pricelist AUD'!$O$3:$O$112,'Calculator +1 tier'!$C31),IF($A$2=4,SUMIFS('Pricelist AUD'!$J$3:$J$112,'Pricelist AUD'!$O$3:$O$112,'Calculator +1 tier'!$C31),IF($A$2=5,SUMIFS('Pricelist AUD'!$K$3:$K$112,'Pricelist AUD'!$O$3:$O$112,'Calculator +1 tier'!$C31),IF($A$2=6,SUMIFS('Pricelist AUD'!$L$3:$L$112,'Pricelist AUD'!$O$3:$O$112,'Calculator +1 tier'!$C31),IF($A$2=7,SUMIFS('Pricelist AUD'!$M$3:$M$112,'Pricelist AUD'!$O$3:$O$112,'Calculator +1 tier'!$C31),IF($A$2=8,SUMIFS('Pricelist AUD'!$N$3:$N$112,'Pricelist AUD'!$O$3:$O$112,'Calculator +1 tier'!$C31),"")))))))),"")</f>
        <v/>
      </c>
      <c r="F31" s="627" t="str">
        <f>IFERROR(D31*E31,"")</f>
        <v/>
      </c>
    </row>
    <row r="32" spans="1:6" ht="14.45" customHeight="1">
      <c r="A32" s="725"/>
      <c r="B32" s="802"/>
      <c r="C32" s="57" t="s">
        <v>67</v>
      </c>
      <c r="D32" s="23">
        <f>'Service-based'!E20</f>
        <v>0</v>
      </c>
      <c r="E32" s="626" t="str">
        <f>IF(D32&gt;0,IF($A$2=1,SUMIFS('Pricelist AUD'!$G$3:$G$112,'Pricelist AUD'!$O$3:$O$112,'Calculator +1 tier'!$C32),IF($A$2=2,SUMIFS('Pricelist AUD'!$H$3:$H$112,'Pricelist AUD'!$O$3:$O$112,'Calculator +1 tier'!$C32),IF($A$2=3,SUMIFS('Pricelist AUD'!$I$3:$I$112,'Pricelist AUD'!$O$3:$O$112,'Calculator +1 tier'!$C32),IF($A$2=4,SUMIFS('Pricelist AUD'!$J$3:$J$112,'Pricelist AUD'!$O$3:$O$112,'Calculator +1 tier'!$C32),IF($A$2=5,SUMIFS('Pricelist AUD'!$K$3:$K$112,'Pricelist AUD'!$O$3:$O$112,'Calculator +1 tier'!$C32),IF($A$2=6,SUMIFS('Pricelist AUD'!$L$3:$L$112,'Pricelist AUD'!$O$3:$O$112,'Calculator +1 tier'!$C32),IF($A$2=7,SUMIFS('Pricelist AUD'!$M$3:$M$112,'Pricelist AUD'!$O$3:$O$112,'Calculator +1 tier'!$C32),IF($A$2=8,SUMIFS('Pricelist AUD'!$N$3:$N$112,'Pricelist AUD'!$O$3:$O$112,'Calculator +1 tier'!$C32),"")))))))),"")</f>
        <v/>
      </c>
      <c r="F32" s="628" t="str">
        <f t="shared" si="1"/>
        <v/>
      </c>
    </row>
    <row r="33" spans="1:6" ht="14.45" customHeight="1">
      <c r="A33" s="725"/>
      <c r="B33" s="802"/>
      <c r="C33" s="161" t="s">
        <v>68</v>
      </c>
      <c r="D33" s="24">
        <f>'Service-based'!E21</f>
        <v>0</v>
      </c>
      <c r="E33" s="626" t="str">
        <f>IF(D33&gt;0,IF($A$2=1,SUMIFS('Pricelist AUD'!$G$3:$G$112,'Pricelist AUD'!$O$3:$O$112,'Calculator +1 tier'!$C33),IF($A$2=2,SUMIFS('Pricelist AUD'!$H$3:$H$112,'Pricelist AUD'!$O$3:$O$112,'Calculator +1 tier'!$C33),IF($A$2=3,SUMIFS('Pricelist AUD'!$I$3:$I$112,'Pricelist AUD'!$O$3:$O$112,'Calculator +1 tier'!$C33),IF($A$2=4,SUMIFS('Pricelist AUD'!$J$3:$J$112,'Pricelist AUD'!$O$3:$O$112,'Calculator +1 tier'!$C33),IF($A$2=5,SUMIFS('Pricelist AUD'!$K$3:$K$112,'Pricelist AUD'!$O$3:$O$112,'Calculator +1 tier'!$C33),IF($A$2=6,SUMIFS('Pricelist AUD'!$L$3:$L$112,'Pricelist AUD'!$O$3:$O$112,'Calculator +1 tier'!$C33),IF($A$2=7,SUMIFS('Pricelist AUD'!$M$3:$M$112,'Pricelist AUD'!$O$3:$O$112,'Calculator +1 tier'!$C33),IF($A$2=8,SUMIFS('Pricelist AUD'!$N$3:$N$112,'Pricelist AUD'!$O$3:$O$112,'Calculator +1 tier'!$C33),"")))))))),"")</f>
        <v/>
      </c>
      <c r="F33" s="627" t="str">
        <f>IFERROR(D33*E33,"")</f>
        <v/>
      </c>
    </row>
    <row r="34" spans="1:6" ht="14.45" customHeight="1">
      <c r="A34" s="725"/>
      <c r="B34" s="802"/>
      <c r="C34" s="57" t="s">
        <v>69</v>
      </c>
      <c r="D34" s="23">
        <f>'Service-based'!E22</f>
        <v>0</v>
      </c>
      <c r="E34" s="626" t="str">
        <f>IF(D34&gt;0,IF($A$2=1,SUMIFS('Pricelist AUD'!$G$3:$G$112,'Pricelist AUD'!$O$3:$O$112,'Calculator +1 tier'!$C34),IF($A$2=2,SUMIFS('Pricelist AUD'!$H$3:$H$112,'Pricelist AUD'!$O$3:$O$112,'Calculator +1 tier'!$C34),IF($A$2=3,SUMIFS('Pricelist AUD'!$I$3:$I$112,'Pricelist AUD'!$O$3:$O$112,'Calculator +1 tier'!$C34),IF($A$2=4,SUMIFS('Pricelist AUD'!$J$3:$J$112,'Pricelist AUD'!$O$3:$O$112,'Calculator +1 tier'!$C34),IF($A$2=5,SUMIFS('Pricelist AUD'!$K$3:$K$112,'Pricelist AUD'!$O$3:$O$112,'Calculator +1 tier'!$C34),IF($A$2=6,SUMIFS('Pricelist AUD'!$L$3:$L$112,'Pricelist AUD'!$O$3:$O$112,'Calculator +1 tier'!$C34),IF($A$2=7,SUMIFS('Pricelist AUD'!$M$3:$M$112,'Pricelist AUD'!$O$3:$O$112,'Calculator +1 tier'!$C34),IF($A$2=8,SUMIFS('Pricelist AUD'!$N$3:$N$112,'Pricelist AUD'!$O$3:$O$112,'Calculator +1 tier'!$C34),"")))))))),"")</f>
        <v/>
      </c>
      <c r="F34" s="628" t="str">
        <f t="shared" si="1"/>
        <v/>
      </c>
    </row>
    <row r="35" spans="1:6" ht="14.45" customHeight="1">
      <c r="A35" s="725"/>
      <c r="B35" s="802"/>
      <c r="C35" s="161" t="s">
        <v>70</v>
      </c>
      <c r="D35" s="24">
        <f>'Service-based'!E23</f>
        <v>0</v>
      </c>
      <c r="E35" s="626" t="str">
        <f>IF(D35&gt;0,IF($A$2=1,SUMIFS('Pricelist AUD'!$G$3:$G$112,'Pricelist AUD'!$O$3:$O$112,'Calculator +1 tier'!$C35,'Pricelist AUD'!$E$3:$E$112,$D$3),IF($A$2=2,SUMIFS('Pricelist AUD'!$H$3:$H$112,'Pricelist AUD'!$O$3:$O$112,'Calculator +1 tier'!$C35,'Pricelist AUD'!$E$3:$E$112,$D$3),IF($A$2=3,SUMIFS('Pricelist AUD'!$I$3:$I$112,'Pricelist AUD'!$O$3:$O$112,'Calculator +1 tier'!$C35,'Pricelist AUD'!$E$3:$E$112,$D$3),IF($A$2=4,SUMIFS('Pricelist AUD'!$J$3:$J$112,'Pricelist AUD'!$O$3:$O$112,'Calculator +1 tier'!$C35,'Pricelist AUD'!$E$3:$E$112,$D$3),IF($A$2=5,SUMIFS('Pricelist AUD'!$K$3:$K$112,'Pricelist AUD'!$O$3:$O$112,'Calculator +1 tier'!$C35,'Pricelist AUD'!$E$3:$E$112,$D$3),IF($A$2=6,SUMIFS('Pricelist AUD'!$L$3:$L$112,'Pricelist AUD'!$O$3:$O$112,'Calculator +1 tier'!$C35,'Pricelist AUD'!$E$3:$E$112,$D$3),IF($A$2=7,SUMIFS('Pricelist AUD'!$M$3:$M$112,'Pricelist AUD'!$O$3:$O$112,'Calculator +1 tier'!$C35,'Pricelist AUD'!$E$3:$E$112,$D$3),IF($A$2=8,SUMIFS('Pricelist AUD'!$N$3:$N$112,'Pricelist AUD'!$O$3:$O$112,'Calculator +1 tier'!$C35,'Pricelist AUD'!$E$3:$E$112,$D$3),"")))))))),"")</f>
        <v/>
      </c>
      <c r="F35" s="627" t="str">
        <f t="shared" si="1"/>
        <v/>
      </c>
    </row>
    <row r="36" spans="1:6" ht="14.45" customHeight="1">
      <c r="A36" s="725"/>
      <c r="B36" s="802"/>
      <c r="C36" s="162" t="s">
        <v>71</v>
      </c>
      <c r="D36" s="23">
        <f>'Service-based'!E24</f>
        <v>0</v>
      </c>
      <c r="E36" s="626" t="str">
        <f>IF(D36&gt;0,IF($A$2=1,SUMIFS('Pricelist AUD'!$G$3:$G$112,'Pricelist AUD'!$O$3:$O$112,'Calculator +1 tier'!$C36),IF($A$2=2,SUMIFS('Pricelist AUD'!$H$3:$H$112,'Pricelist AUD'!$O$3:$O$112,'Calculator +1 tier'!$C36),IF($A$2=3,SUMIFS('Pricelist AUD'!$I$3:$I$112,'Pricelist AUD'!$O$3:$O$112,'Calculator +1 tier'!$C36),IF($A$2=4,SUMIFS('Pricelist AUD'!$J$3:$J$112,'Pricelist AUD'!$O$3:$O$112,'Calculator +1 tier'!$C36),IF($A$2=5,SUMIFS('Pricelist AUD'!$K$3:$K$112,'Pricelist AUD'!$O$3:$O$112,'Calculator +1 tier'!$C36),IF($A$2=6,SUMIFS('Pricelist AUD'!$L$3:$L$112,'Pricelist AUD'!$O$3:$O$112,'Calculator +1 tier'!$C36),IF($A$2=7,SUMIFS('Pricelist AUD'!$M$3:$M$112,'Pricelist AUD'!$O$3:$O$112,'Calculator +1 tier'!$C36),IF($A$2=8,SUMIFS('Pricelist AUD'!$N$3:$N$112,'Pricelist AUD'!$O$3:$O$112,'Calculator +1 tier'!$C36),"")))))))),"")</f>
        <v/>
      </c>
      <c r="F36" s="628" t="str">
        <f t="shared" si="1"/>
        <v/>
      </c>
    </row>
    <row r="37" spans="1:6" ht="14.45" customHeight="1">
      <c r="A37" s="725"/>
      <c r="B37" s="802"/>
      <c r="C37" s="161" t="s">
        <v>72</v>
      </c>
      <c r="D37" s="24">
        <f>'Service-based'!E25</f>
        <v>0</v>
      </c>
      <c r="E37" s="626" t="str">
        <f>IF(D37&gt;0,IF($A$2=1,SUMIFS('Pricelist AUD'!$G$3:$G$112,'Pricelist AUD'!$O$3:$O$112,'Calculator +1 tier'!$C37,'Pricelist AUD'!$E$3:$E$112,$D$3),IF($A$2=2,SUMIFS('Pricelist AUD'!$H$3:$H$112,'Pricelist AUD'!$O$3:$O$112,'Calculator +1 tier'!$C37,'Pricelist AUD'!$E$3:$E$112,$D$3),IF($A$2=3,SUMIFS('Pricelist AUD'!$I$3:$I$112,'Pricelist AUD'!$O$3:$O$112,'Calculator +1 tier'!$C37,'Pricelist AUD'!$E$3:$E$112,$D$3),IF($A$2=4,SUMIFS('Pricelist AUD'!$J$3:$J$112,'Pricelist AUD'!$O$3:$O$112,'Calculator +1 tier'!$C37,'Pricelist AUD'!$E$3:$E$112,$D$3),IF($A$2=5,SUMIFS('Pricelist AUD'!$K$3:$K$112,'Pricelist AUD'!$O$3:$O$112,'Calculator +1 tier'!$C37,'Pricelist AUD'!$E$3:$E$112,$D$3),IF($A$2=6,SUMIFS('Pricelist AUD'!$L$3:$L$112,'Pricelist AUD'!$O$3:$O$112,'Calculator +1 tier'!$C37,'Pricelist AUD'!$E$3:$E$112,$D$3),IF($A$2=7,SUMIFS('Pricelist AUD'!$M$3:$M$112,'Pricelist AUD'!$O$3:$O$112,'Calculator +1 tier'!$C37,'Pricelist AUD'!$E$3:$E$112,$D$3),IF($A$2=8,SUMIFS('Pricelist AUD'!$N$3:$N$112,'Pricelist AUD'!$O$3:$O$112,'Calculator +1 tier'!$C37,'Pricelist AUD'!$E$3:$E$112,$D$3),"")))))))),"")</f>
        <v/>
      </c>
      <c r="F37" s="627" t="str">
        <f t="shared" si="1"/>
        <v/>
      </c>
    </row>
    <row r="38" spans="1:6" ht="14.45" customHeight="1">
      <c r="A38" s="725"/>
      <c r="B38" s="802"/>
      <c r="C38" s="161" t="s">
        <v>73</v>
      </c>
      <c r="D38" s="24">
        <f>'Service-based'!E26</f>
        <v>0</v>
      </c>
      <c r="E38" s="626" t="str">
        <f>IF(D38&gt;0,IF($A$2=1,SUMIFS('Pricelist AUD'!$G$3:$G$112,'Pricelist AUD'!$O$3:$O$112,'Calculator +1 tier'!$C38),IF($A$2=2,SUMIFS('Pricelist AUD'!$H$3:$H$112,'Pricelist AUD'!$O$3:$O$112,'Calculator +1 tier'!$C38),IF($A$2=3,SUMIFS('Pricelist AUD'!$I$3:$I$112,'Pricelist AUD'!$O$3:$O$112,'Calculator +1 tier'!$C38),IF($A$2=4,SUMIFS('Pricelist AUD'!$J$3:$J$112,'Pricelist AUD'!$O$3:$O$112,'Calculator +1 tier'!$C38),IF($A$2=5,SUMIFS('Pricelist AUD'!$K$3:$K$112,'Pricelist AUD'!$O$3:$O$112,'Calculator +1 tier'!$C38),IF($A$2=6,SUMIFS('Pricelist AUD'!$L$3:$L$112,'Pricelist AUD'!$O$3:$O$112,'Calculator +1 tier'!$C38),IF($A$2=7,SUMIFS('Pricelist AUD'!$M$3:$M$112,'Pricelist AUD'!$O$3:$O$112,'Calculator +1 tier'!$C38),IF($A$2=8,SUMIFS('Pricelist AUD'!$N$3:$N$112,'Pricelist AUD'!$O$3:$O$112,'Calculator +1 tier'!$C38),"")))))))),"")</f>
        <v/>
      </c>
      <c r="F38" s="627" t="str">
        <f t="shared" si="1"/>
        <v/>
      </c>
    </row>
    <row r="39" spans="1:6" ht="14.45" customHeight="1">
      <c r="A39" s="725"/>
      <c r="B39" s="802"/>
      <c r="C39" s="57" t="s">
        <v>74</v>
      </c>
      <c r="D39" s="23">
        <f>'Service-based'!E27</f>
        <v>0</v>
      </c>
      <c r="E39" s="626" t="str">
        <f>IF(D39&gt;0,IF($A$2=1,SUMIFS('Pricelist AUD'!$G$3:$G$112,'Pricelist AUD'!$O$3:$O$112,'Calculator +1 tier'!$C39),IF($A$2=2,SUMIFS('Pricelist AUD'!$H$3:$H$112,'Pricelist AUD'!$O$3:$O$112,'Calculator +1 tier'!$C39),IF($A$2=3,SUMIFS('Pricelist AUD'!$I$3:$I$112,'Pricelist AUD'!$O$3:$O$112,'Calculator +1 tier'!$C39),IF($A$2=4,SUMIFS('Pricelist AUD'!$J$3:$J$112,'Pricelist AUD'!$O$3:$O$112,'Calculator +1 tier'!$C39),IF($A$2=5,SUMIFS('Pricelist AUD'!$K$3:$K$112,'Pricelist AUD'!$O$3:$O$112,'Calculator +1 tier'!$C39),IF($A$2=6,SUMIFS('Pricelist AUD'!$L$3:$L$112,'Pricelist AUD'!$O$3:$O$112,'Calculator +1 tier'!$C39),IF($A$2=7,SUMIFS('Pricelist AUD'!$M$3:$M$112,'Pricelist AUD'!$O$3:$O$112,'Calculator +1 tier'!$C39),IF($A$2=8,SUMIFS('Pricelist AUD'!$N$3:$N$112,'Pricelist AUD'!$O$3:$O$112,'Calculator +1 tier'!$C39),"")))))))),"")</f>
        <v/>
      </c>
      <c r="F39" s="628" t="str">
        <f t="shared" si="1"/>
        <v/>
      </c>
    </row>
    <row r="40" spans="1:6" ht="14.45" customHeight="1">
      <c r="A40" s="725"/>
      <c r="B40" s="802"/>
      <c r="C40" s="161" t="s">
        <v>75</v>
      </c>
      <c r="D40" s="24">
        <f>'Service-based'!E28</f>
        <v>0</v>
      </c>
      <c r="E40" s="626" t="str">
        <f>IF(D40&gt;0,IF($A$2=1,SUMIFS('Pricelist AUD'!$G$3:$G$112,'Pricelist AUD'!$O$3:$O$112,'Calculator +1 tier'!$C40),IF($A$2=2,SUMIFS('Pricelist AUD'!$H$3:$H$112,'Pricelist AUD'!$O$3:$O$112,'Calculator +1 tier'!$C40),IF($A$2=3,SUMIFS('Pricelist AUD'!$I$3:$I$112,'Pricelist AUD'!$O$3:$O$112,'Calculator +1 tier'!$C40),IF($A$2=4,SUMIFS('Pricelist AUD'!$J$3:$J$112,'Pricelist AUD'!$O$3:$O$112,'Calculator +1 tier'!$C40),IF($A$2=5,SUMIFS('Pricelist AUD'!$K$3:$K$112,'Pricelist AUD'!$O$3:$O$112,'Calculator +1 tier'!$C40),IF($A$2=6,SUMIFS('Pricelist AUD'!$L$3:$L$112,'Pricelist AUD'!$O$3:$O$112,'Calculator +1 tier'!$C40),IF($A$2=7,SUMIFS('Pricelist AUD'!$M$3:$M$112,'Pricelist AUD'!$O$3:$O$112,'Calculator +1 tier'!$C40),IF($A$2=8,SUMIFS('Pricelist AUD'!$N$3:$N$112,'Pricelist AUD'!$O$3:$O$112,'Calculator +1 tier'!$C40),"")))))))),"")</f>
        <v/>
      </c>
      <c r="F40" s="627" t="str">
        <f t="shared" si="1"/>
        <v/>
      </c>
    </row>
    <row r="41" spans="1:6" ht="14.45" customHeight="1">
      <c r="A41" s="725"/>
      <c r="B41" s="802"/>
      <c r="C41" s="57" t="s">
        <v>76</v>
      </c>
      <c r="D41" s="27">
        <f>'Service-based'!E29</f>
        <v>0</v>
      </c>
      <c r="E41" s="626" t="str">
        <f>IF(D41&gt;0,IF($A$2=1,SUMIFS('Pricelist AUD'!$G$3:$G$112,'Pricelist AUD'!$O$3:$O$112,'Calculator +1 tier'!$C41,'Pricelist AUD'!$E$3:$E$112,$D$3),IF($A$2=2,SUMIFS('Pricelist AUD'!$H$3:$H$112,'Pricelist AUD'!$O$3:$O$112,'Calculator +1 tier'!$C41,'Pricelist AUD'!$E$3:$E$112,$D$3),IF($A$2=3,SUMIFS('Pricelist AUD'!$I$3:$I$112,'Pricelist AUD'!$O$3:$O$112,'Calculator +1 tier'!$C41,'Pricelist AUD'!$E$3:$E$112,$D$3),IF($A$2=4,SUMIFS('Pricelist AUD'!$J$3:$J$112,'Pricelist AUD'!$O$3:$O$112,'Calculator +1 tier'!$C41,'Pricelist AUD'!$E$3:$E$112,$D$3),IF($A$2=5,SUMIFS('Pricelist AUD'!$K$3:$K$112,'Pricelist AUD'!$O$3:$O$112,'Calculator +1 tier'!$C41,'Pricelist AUD'!$E$3:$E$112,$D$3),IF($A$2=6,SUMIFS('Pricelist AUD'!$L$3:$L$112,'Pricelist AUD'!$O$3:$O$112,'Calculator +1 tier'!$C41,'Pricelist AUD'!$E$3:$E$112,$D$3),IF($A$2=7,SUMIFS('Pricelist AUD'!$M$3:$M$112,'Pricelist AUD'!$O$3:$O$112,'Calculator +1 tier'!$C41,'Pricelist AUD'!$E$3:$E$112,$D$3),IF($A$2=8,SUMIFS('Pricelist AUD'!$N$3:$N$112,'Pricelist AUD'!$O$3:$O$112,'Calculator +1 tier'!$C41,'Pricelist AUD'!$E$3:$E$112,$D$3),"")))))))),"")</f>
        <v/>
      </c>
      <c r="F41" s="628" t="str">
        <f t="shared" si="1"/>
        <v/>
      </c>
    </row>
    <row r="42" spans="1:6" ht="15" customHeight="1">
      <c r="A42" s="725"/>
      <c r="B42" s="802"/>
      <c r="C42" s="163" t="s">
        <v>77</v>
      </c>
      <c r="D42" s="28">
        <f>'Service-based'!E30</f>
        <v>0</v>
      </c>
      <c r="E42" s="626" t="str">
        <f>IF(D42&gt;0,IF($A$2=1,SUMIFS('Pricelist AUD'!$G$3:$G$112,'Pricelist AUD'!$O$3:$O$112,'Calculator +1 tier'!$C42),IF($A$2=2,SUMIFS('Pricelist AUD'!$H$3:$H$112,'Pricelist AUD'!$O$3:$O$112,'Calculator +1 tier'!$C42),IF($A$2=3,SUMIFS('Pricelist AUD'!$I$3:$I$112,'Pricelist AUD'!$O$3:$O$112,'Calculator +1 tier'!$C42),IF($A$2=4,SUMIFS('Pricelist AUD'!$J$3:$J$112,'Pricelist AUD'!$O$3:$O$112,'Calculator +1 tier'!$C42),IF($A$2=5,SUMIFS('Pricelist AUD'!$K$3:$K$112,'Pricelist AUD'!$O$3:$O$112,'Calculator +1 tier'!$C42),IF($A$2=6,SUMIFS('Pricelist AUD'!$L$3:$L$112,'Pricelist AUD'!$O$3:$O$112,'Calculator +1 tier'!$C42),IF($A$2=7,SUMIFS('Pricelist AUD'!$M$3:$M$112,'Pricelist AUD'!$O$3:$O$112,'Calculator +1 tier'!$C42),IF($A$2=8,SUMIFS('Pricelist AUD'!$N$3:$N$112,'Pricelist AUD'!$O$3:$O$112,'Calculator +1 tier'!$C42),"")))))))),"")</f>
        <v/>
      </c>
      <c r="F42" s="629" t="str">
        <f t="shared" si="1"/>
        <v/>
      </c>
    </row>
    <row r="43" spans="1:6" ht="15" customHeight="1">
      <c r="A43" s="725"/>
      <c r="B43" s="143"/>
      <c r="C43" s="57" t="s">
        <v>104</v>
      </c>
      <c r="D43" s="23">
        <f>'Service-based'!E50</f>
        <v>0</v>
      </c>
      <c r="E43" s="626" t="str">
        <f>IF(D43&gt;0,IF($A$2=1,SUMIFS('Pricelist AUD'!$G$3:$G$112,'Pricelist AUD'!$O$3:$O$112,'Calculator +1 tier'!$C43,'Pricelist AUD'!$E$3:$E$112,$D$3),IF($A$2=2,SUMIFS('Pricelist AUD'!$H$3:$H$112,'Pricelist AUD'!$O$3:$O$112,'Calculator +1 tier'!$C43,'Pricelist AUD'!$E$3:$E$112,$D$3),IF($A$2=3,SUMIFS('Pricelist AUD'!$I$3:$I$112,'Pricelist AUD'!$O$3:$O$112,'Calculator +1 tier'!$C43,'Pricelist AUD'!$E$3:$E$112,$D$3),IF($A$2=4,SUMIFS('Pricelist AUD'!$J$3:$J$112,'Pricelist AUD'!$O$3:$O$112,'Calculator +1 tier'!$C43,'Pricelist AUD'!$E$3:$E$112,$D$3),IF($A$2=5,SUMIFS('Pricelist AUD'!$K$3:$K$112,'Pricelist AUD'!$O$3:$O$112,'Calculator +1 tier'!$C43,'Pricelist AUD'!$E$3:$E$112,$D$3),IF($A$2=6,SUMIFS('Pricelist AUD'!$L$3:$L$112,'Pricelist AUD'!$O$3:$O$112,'Calculator +1 tier'!$C43,'Pricelist AUD'!$E$3:$E$112,$D$3),IF($A$2=7,SUMIFS('Pricelist AUD'!$M$3:$M$112,'Pricelist AUD'!$O$3:$O$112,'Calculator +1 tier'!$C43,'Pricelist AUD'!$E$3:$E$112,$D$3),IF($A$2=8,SUMIFS('Pricelist AUD'!$N$3:$N$112,'Pricelist AUD'!$O$3:$O$112,'Calculator +1 tier'!$C43,'Pricelist AUD'!$E$3:$E$112,$D$3),"")))))))),"")</f>
        <v/>
      </c>
      <c r="F43" s="627" t="str">
        <f t="shared" si="1"/>
        <v/>
      </c>
    </row>
    <row r="44" spans="1:6" ht="15" customHeight="1">
      <c r="A44" s="725"/>
      <c r="B44" s="143"/>
      <c r="C44" s="161" t="s">
        <v>105</v>
      </c>
      <c r="D44" s="24">
        <f>'Service-based'!E51</f>
        <v>0</v>
      </c>
      <c r="E44" s="626" t="str">
        <f>IF(D44&gt;0,IF($A$2=1,SUMIFS('Pricelist AUD'!$G$3:$G$112,'Pricelist AUD'!$O$3:$O$112,'Calculator +1 tier'!$C44),IF($A$2=2,SUMIFS('Pricelist AUD'!$H$3:$H$112,'Pricelist AUD'!$O$3:$O$112,'Calculator +1 tier'!$C44),IF($A$2=3,SUMIFS('Pricelist AUD'!$I$3:$I$112,'Pricelist AUD'!$O$3:$O$112,'Calculator +1 tier'!$C44),IF($A$2=4,SUMIFS('Pricelist AUD'!$J$3:$J$112,'Pricelist AUD'!$O$3:$O$112,'Calculator +1 tier'!$C44),IF($A$2=5,SUMIFS('Pricelist AUD'!$K$3:$K$112,'Pricelist AUD'!$O$3:$O$112,'Calculator +1 tier'!$C44),IF($A$2=6,SUMIFS('Pricelist AUD'!$L$3:$L$112,'Pricelist AUD'!$O$3:$O$112,'Calculator +1 tier'!$C44),IF($A$2=7,SUMIFS('Pricelist AUD'!$M$3:$M$112,'Pricelist AUD'!$O$3:$O$112,'Calculator +1 tier'!$C44),IF($A$2=8,SUMIFS('Pricelist AUD'!$N$3:$N$112,'Pricelist AUD'!$O$3:$O$112,'Calculator +1 tier'!$C44),"")))))))),"")</f>
        <v/>
      </c>
      <c r="F44" s="627" t="str">
        <f t="shared" si="1"/>
        <v/>
      </c>
    </row>
    <row r="45" spans="1:6" ht="15" customHeight="1">
      <c r="A45" s="725"/>
      <c r="B45" s="58"/>
      <c r="C45" s="164" t="s">
        <v>106</v>
      </c>
      <c r="D45" s="23">
        <f>'Service-based'!E52</f>
        <v>0</v>
      </c>
      <c r="E45" s="626" t="str">
        <f>IF(D45&gt;0,IF($A$2=1,SUMIFS('Pricelist AUD'!$G$3:$G$112,'Pricelist AUD'!$O$3:$O$112,'Calculator +1 tier'!$C45),IF($A$2=2,SUMIFS('Pricelist AUD'!$H$3:$H$112,'Pricelist AUD'!$O$3:$O$112,'Calculator +1 tier'!$C45),IF($A$2=3,SUMIFS('Pricelist AUD'!$I$3:$I$112,'Pricelist AUD'!$O$3:$O$112,'Calculator +1 tier'!$C45),IF($A$2=4,SUMIFS('Pricelist AUD'!$J$3:$J$112,'Pricelist AUD'!$O$3:$O$112,'Calculator +1 tier'!$C45),IF($A$2=5,SUMIFS('Pricelist AUD'!$K$3:$K$112,'Pricelist AUD'!$O$3:$O$112,'Calculator +1 tier'!$C45),IF($A$2=6,SUMIFS('Pricelist AUD'!$L$3:$L$112,'Pricelist AUD'!$O$3:$O$112,'Calculator +1 tier'!$C45),IF($A$2=7,SUMIFS('Pricelist AUD'!$M$3:$M$112,'Pricelist AUD'!$O$3:$O$112,'Calculator +1 tier'!$C45),IF($A$2=8,SUMIFS('Pricelist AUD'!$N$3:$N$112,'Pricelist AUD'!$O$3:$O$112,'Calculator +1 tier'!$C45),"")))))))),"")</f>
        <v/>
      </c>
      <c r="F45" s="627" t="str">
        <f t="shared" si="1"/>
        <v/>
      </c>
    </row>
    <row r="46" spans="1:6" ht="19.5" customHeight="1">
      <c r="A46" s="722"/>
      <c r="B46" s="807" t="s">
        <v>162</v>
      </c>
      <c r="C46" s="823"/>
      <c r="D46" s="26"/>
      <c r="E46" s="630"/>
      <c r="F46" s="631"/>
    </row>
    <row r="47" spans="1:6" ht="14.45" customHeight="1">
      <c r="A47" s="725"/>
      <c r="B47" s="824" t="s">
        <v>78</v>
      </c>
      <c r="C47" s="167" t="s">
        <v>79</v>
      </c>
      <c r="D47" s="25">
        <f>'Service-based'!E31</f>
        <v>0</v>
      </c>
      <c r="E47" s="626" t="str">
        <f>IF(D47&gt;0,IF($A$2=1,SUMIFS('Pricelist AUD'!$G$3:$G$112,'Pricelist AUD'!$O$3:$O$112,'Calculator +1 tier'!$C47,'Pricelist AUD'!$E$3:$E$112,$D$3),IF($A$2=2,SUMIFS('Pricelist AUD'!$H$3:$H$112,'Pricelist AUD'!$O$3:$O$112,'Calculator +1 tier'!$C47,'Pricelist AUD'!$E$3:$E$112,$D$3),IF($A$2=3,SUMIFS('Pricelist AUD'!$I$3:$I$112,'Pricelist AUD'!$O$3:$O$112,'Calculator +1 tier'!$C47,'Pricelist AUD'!$E$3:$E$112,$D$3),IF($A$2=4,SUMIFS('Pricelist AUD'!$J$3:$J$112,'Pricelist AUD'!$O$3:$O$112,'Calculator +1 tier'!$C47,'Pricelist AUD'!$E$3:$E$112,$D$3),IF($A$2=5,SUMIFS('Pricelist AUD'!$K$3:$K$112,'Pricelist AUD'!$O$3:$O$112,'Calculator +1 tier'!$C47,'Pricelist AUD'!$E$3:$E$112,$D$3),IF($A$2=6,SUMIFS('Pricelist AUD'!$L$3:$L$112,'Pricelist AUD'!$O$3:$O$112,'Calculator +1 tier'!$C47,'Pricelist AUD'!$E$3:$E$112,$D$3),IF($A$2=7,SUMIFS('Pricelist AUD'!$M$3:$M$112,'Pricelist AUD'!$O$3:$O$112,'Calculator +1 tier'!$C47,'Pricelist AUD'!$E$3:$E$112,$D$3),IF($A$2=8,SUMIFS('Pricelist AUD'!$N$3:$N$112,'Pricelist AUD'!$O$3:$O$112,'Calculator +1 tier'!$C47,'Pricelist AUD'!$E$3:$E$112,$D$3),"")))))))),"")</f>
        <v/>
      </c>
      <c r="F47" s="632" t="str">
        <f t="shared" ref="F47:F57" si="2">IFERROR(D47*E47,"")</f>
        <v/>
      </c>
    </row>
    <row r="48" spans="1:6" ht="14.45" customHeight="1">
      <c r="A48" s="725"/>
      <c r="B48" s="817"/>
      <c r="C48" s="57" t="s">
        <v>80</v>
      </c>
      <c r="D48" s="27">
        <f>'Service-based'!E32</f>
        <v>0</v>
      </c>
      <c r="E48" s="626" t="str">
        <f>IF(D48&gt;0,IF($A$2=1,SUMIFS('Pricelist AUD'!$G$3:$G$112,'Pricelist AUD'!$O$3:$O$112,'Calculator +1 tier'!$C48),IF($A$2=2,SUMIFS('Pricelist AUD'!$H$3:$H$112,'Pricelist AUD'!$O$3:$O$112,'Calculator +1 tier'!$C48),IF($A$2=3,SUMIFS('Pricelist AUD'!$I$3:$I$112,'Pricelist AUD'!$O$3:$O$112,'Calculator +1 tier'!$C48),IF($A$2=4,SUMIFS('Pricelist AUD'!$J$3:$J$112,'Pricelist AUD'!$O$3:$O$112,'Calculator +1 tier'!$C48),IF($A$2=5,SUMIFS('Pricelist AUD'!$K$3:$K$112,'Pricelist AUD'!$O$3:$O$112,'Calculator +1 tier'!$C48),IF($A$2=6,SUMIFS('Pricelist AUD'!$L$3:$L$112,'Pricelist AUD'!$O$3:$O$112,'Calculator +1 tier'!$C48),IF($A$2=7,SUMIFS('Pricelist AUD'!$M$3:$M$112,'Pricelist AUD'!$O$3:$O$112,'Calculator +1 tier'!$C48),IF($A$2=8,SUMIFS('Pricelist AUD'!$N$3:$N$112,'Pricelist AUD'!$O$3:$O$112,'Calculator +1 tier'!$C48),"")))))))),"")</f>
        <v/>
      </c>
      <c r="F48" s="628" t="str">
        <f t="shared" si="2"/>
        <v/>
      </c>
    </row>
    <row r="49" spans="1:6" ht="14.45" customHeight="1">
      <c r="A49" s="725"/>
      <c r="B49" s="817"/>
      <c r="C49" s="169" t="s">
        <v>81</v>
      </c>
      <c r="D49" s="25">
        <f>'Service-based'!E33</f>
        <v>0</v>
      </c>
      <c r="E49" s="626" t="str">
        <f>IF(D49&gt;0,IF($A$2=1,SUMIFS('Pricelist AUD'!$G$3:$G$112,'Pricelist AUD'!$O$3:$O$112,'Calculator +1 tier'!$C49),IF($A$2=2,SUMIFS('Pricelist AUD'!$H$3:$H$112,'Pricelist AUD'!$O$3:$O$112,'Calculator +1 tier'!$C49),IF($A$2=3,SUMIFS('Pricelist AUD'!$I$3:$I$112,'Pricelist AUD'!$O$3:$O$112,'Calculator +1 tier'!$C49),IF($A$2=4,SUMIFS('Pricelist AUD'!$J$3:$J$112,'Pricelist AUD'!$O$3:$O$112,'Calculator +1 tier'!$C49),IF($A$2=5,SUMIFS('Pricelist AUD'!$K$3:$K$112,'Pricelist AUD'!$O$3:$O$112,'Calculator +1 tier'!$C49),IF($A$2=6,SUMIFS('Pricelist AUD'!$L$3:$L$112,'Pricelist AUD'!$O$3:$O$112,'Calculator +1 tier'!$C49),IF($A$2=7,SUMIFS('Pricelist AUD'!$M$3:$M$112,'Pricelist AUD'!$O$3:$O$112,'Calculator +1 tier'!$C49),IF($A$2=8,SUMIFS('Pricelist AUD'!$N$3:$N$112,'Pricelist AUD'!$O$3:$O$112,'Calculator +1 tier'!$C49),"")))))))),"")</f>
        <v/>
      </c>
      <c r="F49" s="632" t="str">
        <f t="shared" si="2"/>
        <v/>
      </c>
    </row>
    <row r="50" spans="1:6" ht="15" customHeight="1">
      <c r="A50" s="725"/>
      <c r="B50" s="817"/>
      <c r="C50" s="57" t="s">
        <v>82</v>
      </c>
      <c r="D50" s="56">
        <f>'Service-based'!E34</f>
        <v>0</v>
      </c>
      <c r="E50" s="626" t="str">
        <f>IF(D50&gt;0,IF($A$2=1,SUMIFS('Pricelist AUD'!$G$3:$G$112,'Pricelist AUD'!$O$3:$O$112,'Calculator +1 tier'!$C50),IF($A$2=2,SUMIFS('Pricelist AUD'!$H$3:$H$112,'Pricelist AUD'!$O$3:$O$112,'Calculator +1 tier'!$C50),IF($A$2=3,SUMIFS('Pricelist AUD'!$I$3:$I$112,'Pricelist AUD'!$O$3:$O$112,'Calculator +1 tier'!$C50),IF($A$2=4,SUMIFS('Pricelist AUD'!$J$3:$J$112,'Pricelist AUD'!$O$3:$O$112,'Calculator +1 tier'!$C50),IF($A$2=5,SUMIFS('Pricelist AUD'!$K$3:$K$112,'Pricelist AUD'!$O$3:$O$112,'Calculator +1 tier'!$C50),IF($A$2=6,SUMIFS('Pricelist AUD'!$L$3:$L$112,'Pricelist AUD'!$O$3:$O$112,'Calculator +1 tier'!$C50),IF($A$2=7,SUMIFS('Pricelist AUD'!$M$3:$M$112,'Pricelist AUD'!$O$3:$O$112,'Calculator +1 tier'!$C50),IF($A$2=8,SUMIFS('Pricelist AUD'!$N$3:$N$112,'Pricelist AUD'!$O$3:$O$112,'Calculator +1 tier'!$C50),"")))))))),"")</f>
        <v/>
      </c>
      <c r="F50" s="633" t="str">
        <f t="shared" si="2"/>
        <v/>
      </c>
    </row>
    <row r="51" spans="1:6" ht="15" customHeight="1">
      <c r="A51" s="725"/>
      <c r="B51" s="145"/>
      <c r="C51" s="169" t="s">
        <v>108</v>
      </c>
      <c r="D51" s="27">
        <f>'Service-based'!E53</f>
        <v>0</v>
      </c>
      <c r="E51" s="626" t="str">
        <f>IF(D51&gt;0,IF($A$2=1,SUMIFS('Pricelist AUD'!$G$3:$G$112,'Pricelist AUD'!$O$3:$O$112,'Calculator +1 tier'!$C51,'Pricelist AUD'!$E$3:$E$112,$D$3),IF($A$2=2,SUMIFS('Pricelist AUD'!$H$3:$H$112,'Pricelist AUD'!$O$3:$O$112,'Calculator +1 tier'!$C51,'Pricelist AUD'!$E$3:$E$112,$D$3),IF($A$2=3,SUMIFS('Pricelist AUD'!$I$3:$I$112,'Pricelist AUD'!$O$3:$O$112,'Calculator +1 tier'!$C51,'Pricelist AUD'!$E$3:$E$112,$D$3),IF($A$2=4,SUMIFS('Pricelist AUD'!$J$3:$J$112,'Pricelist AUD'!$O$3:$O$112,'Calculator +1 tier'!$C51,'Pricelist AUD'!$E$3:$E$112,$D$3),IF($A$2=5,SUMIFS('Pricelist AUD'!$K$3:$K$112,'Pricelist AUD'!$O$3:$O$112,'Calculator +1 tier'!$C51,'Pricelist AUD'!$E$3:$E$112,$D$3),IF($A$2=6,SUMIFS('Pricelist AUD'!$L$3:$L$112,'Pricelist AUD'!$O$3:$O$112,'Calculator +1 tier'!$C51,'Pricelist AUD'!$E$3:$E$112,$D$3),IF($A$2=7,SUMIFS('Pricelist AUD'!$M$3:$M$112,'Pricelist AUD'!$O$3:$O$112,'Calculator +1 tier'!$C51,'Pricelist AUD'!$E$3:$E$112,$D$3),IF($A$2=8,SUMIFS('Pricelist AUD'!$N$3:$N$112,'Pricelist AUD'!$O$3:$O$112,'Calculator +1 tier'!$C51,'Pricelist AUD'!$E$3:$E$112,$D$3),"")))))))),"")</f>
        <v/>
      </c>
      <c r="F51" s="633" t="str">
        <f t="shared" si="2"/>
        <v/>
      </c>
    </row>
    <row r="52" spans="1:6" ht="15" customHeight="1">
      <c r="A52" s="725"/>
      <c r="B52" s="145"/>
      <c r="C52" s="57" t="s">
        <v>109</v>
      </c>
      <c r="D52" s="27">
        <f>'Service-based'!E54</f>
        <v>0</v>
      </c>
      <c r="E52" s="626" t="str">
        <f>IF(D52&gt;0,IF($A$2=1,SUMIFS('Pricelist AUD'!$G$3:$G$112,'Pricelist AUD'!$O$3:$O$112,'Calculator +1 tier'!$C52),IF($A$2=2,SUMIFS('Pricelist AUD'!$H$3:$H$112,'Pricelist AUD'!$O$3:$O$112,'Calculator +1 tier'!$C52),IF($A$2=3,SUMIFS('Pricelist AUD'!$I$3:$I$112,'Pricelist AUD'!$O$3:$O$112,'Calculator +1 tier'!$C52),IF($A$2=4,SUMIFS('Pricelist AUD'!$J$3:$J$112,'Pricelist AUD'!$O$3:$O$112,'Calculator +1 tier'!$C52),IF($A$2=5,SUMIFS('Pricelist AUD'!$K$3:$K$112,'Pricelist AUD'!$O$3:$O$112,'Calculator +1 tier'!$C52),IF($A$2=6,SUMIFS('Pricelist AUD'!$L$3:$L$112,'Pricelist AUD'!$O$3:$O$112,'Calculator +1 tier'!$C52),IF($A$2=7,SUMIFS('Pricelist AUD'!$M$3:$M$112,'Pricelist AUD'!$O$3:$O$112,'Calculator +1 tier'!$C52),IF($A$2=8,SUMIFS('Pricelist AUD'!$N$3:$N$112,'Pricelist AUD'!$O$3:$O$112,'Calculator +1 tier'!$C52),"")))))))),"")</f>
        <v/>
      </c>
      <c r="F52" s="633" t="str">
        <f t="shared" si="2"/>
        <v/>
      </c>
    </row>
    <row r="53" spans="1:6" ht="15" customHeight="1">
      <c r="A53" s="725"/>
      <c r="B53" s="146"/>
      <c r="C53" s="170" t="s">
        <v>110</v>
      </c>
      <c r="D53" s="27">
        <f>'Service-based'!E55</f>
        <v>0</v>
      </c>
      <c r="E53" s="626" t="str">
        <f>IF(D53&gt;0,IF($A$2=1,SUMIFS('Pricelist AUD'!$G$3:$G$112,'Pricelist AUD'!$O$3:$O$112,'Calculator +1 tier'!$C53),IF($A$2=2,SUMIFS('Pricelist AUD'!$H$3:$H$112,'Pricelist AUD'!$O$3:$O$112,'Calculator +1 tier'!$C53),IF($A$2=3,SUMIFS('Pricelist AUD'!$I$3:$I$112,'Pricelist AUD'!$O$3:$O$112,'Calculator +1 tier'!$C53),IF($A$2=4,SUMIFS('Pricelist AUD'!$J$3:$J$112,'Pricelist AUD'!$O$3:$O$112,'Calculator +1 tier'!$C53),IF($A$2=5,SUMIFS('Pricelist AUD'!$K$3:$K$112,'Pricelist AUD'!$O$3:$O$112,'Calculator +1 tier'!$C53),IF($A$2=6,SUMIFS('Pricelist AUD'!$L$3:$L$112,'Pricelist AUD'!$O$3:$O$112,'Calculator +1 tier'!$C53),IF($A$2=7,SUMIFS('Pricelist AUD'!$M$3:$M$112,'Pricelist AUD'!$O$3:$O$112,'Calculator +1 tier'!$C53),IF($A$2=8,SUMIFS('Pricelist AUD'!$N$3:$N$112,'Pricelist AUD'!$O$3:$O$112,'Calculator +1 tier'!$C53),"")))))))),"")</f>
        <v/>
      </c>
      <c r="F53" s="633" t="str">
        <f t="shared" si="2"/>
        <v/>
      </c>
    </row>
    <row r="54" spans="1:6" ht="15" customHeight="1">
      <c r="A54" s="725"/>
      <c r="B54" s="145" t="s">
        <v>163</v>
      </c>
      <c r="C54" s="284" t="str">
        <f>'Service-based'!C35</f>
        <v>Microsoft 365 Backup Storage powered by Microsoft (per GB, for both per GB and per workload models)</v>
      </c>
      <c r="D54" s="27">
        <f>'Service-based'!E35</f>
        <v>0</v>
      </c>
      <c r="E54" s="626" t="str">
        <f>IF(D54&gt;0,IF($A$2=1,SUMIFS('Pricelist AUD'!$G$3:$G$112,'Pricelist AUD'!$O$3:$O$112,'Calculator +1 tier'!$C54),IF($A$2=2,SUMIFS('Pricelist AUD'!$H$3:$H$112,'Pricelist AUD'!$O$3:$O$112,'Calculator +1 tier'!$C54),IF($A$2=3,SUMIFS('Pricelist AUD'!$I$3:$I$112,'Pricelist AUD'!$O$3:$O$112,'Calculator +1 tier'!$C54),IF($A$2=4,SUMIFS('Pricelist AUD'!$J$3:$J$112,'Pricelist AUD'!$O$3:$O$112,'Calculator +1 tier'!$C54),IF($A$2=5,SUMIFS('Pricelist AUD'!$K$3:$K$112,'Pricelist AUD'!$O$3:$O$112,'Calculator +1 tier'!$C54),IF($A$2=6,SUMIFS('Pricelist AUD'!$L$3:$L$112,'Pricelist AUD'!$O$3:$O$112,'Calculator +1 tier'!$C54),IF($A$2=7,SUMIFS('Pricelist AUD'!$M$3:$M$112,'Pricelist AUD'!$O$3:$O$112,'Calculator +1 tier'!$C54),IF($A$2=8,SUMIFS('Pricelist AUD'!$N$3:$N$112,'Pricelist AUD'!$O$3:$O$112,'Calculator +1 tier'!$C54),"")))))))),"")</f>
        <v/>
      </c>
      <c r="F54" s="633" t="str">
        <f t="shared" si="2"/>
        <v/>
      </c>
    </row>
    <row r="55" spans="1:6" ht="15" customHeight="1">
      <c r="A55" s="722"/>
      <c r="B55" s="817" t="s">
        <v>37</v>
      </c>
      <c r="C55" s="9" t="s">
        <v>85</v>
      </c>
      <c r="D55" s="27">
        <f>'Service-based'!E36</f>
        <v>0</v>
      </c>
      <c r="E55" s="626" t="str">
        <f>IF(D55&gt;0,IF($A$2=1,SUMIFS('Pricelist AUD'!$G$3:$G$112,'Pricelist AUD'!$O$3:$O$112,'Calculator +1 tier'!$C55),IF($A$2=2,SUMIFS('Pricelist AUD'!$H$3:$H$112,'Pricelist AUD'!$O$3:$O$112,'Calculator +1 tier'!$C55),IF($A$2=3,SUMIFS('Pricelist AUD'!$I$3:$I$112,'Pricelist AUD'!$O$3:$O$112,'Calculator +1 tier'!$C55),IF($A$2=4,SUMIFS('Pricelist AUD'!$J$3:$J$112,'Pricelist AUD'!$O$3:$O$112,'Calculator +1 tier'!$C55),IF($A$2=5,SUMIFS('Pricelist AUD'!$K$3:$K$112,'Pricelist AUD'!$O$3:$O$112,'Calculator +1 tier'!$C55),IF($A$2=6,SUMIFS('Pricelist AUD'!$L$3:$L$112,'Pricelist AUD'!$O$3:$O$112,'Calculator +1 tier'!$C55),IF($A$2=7,SUMIFS('Pricelist AUD'!$M$3:$M$112,'Pricelist AUD'!$O$3:$O$112,'Calculator +1 tier'!$C55),IF($A$2=8,SUMIFS('Pricelist AUD'!$N$3:$N$112,'Pricelist AUD'!$O$3:$O$112,'Calculator +1 tier'!$C55),"")))))))),"")</f>
        <v/>
      </c>
      <c r="F55" s="628" t="str">
        <f t="shared" si="2"/>
        <v/>
      </c>
    </row>
    <row r="56" spans="1:6" ht="15" customHeight="1">
      <c r="A56" s="722"/>
      <c r="B56" s="817"/>
      <c r="C56" s="12" t="s">
        <v>87</v>
      </c>
      <c r="D56" s="24">
        <f>'Service-based'!E37</f>
        <v>0</v>
      </c>
      <c r="E56" s="626" t="str">
        <f>IF(D56&gt;0,IF($A$2=1,SUMIFS('Pricelist AUD'!$G$3:$G$112,'Pricelist AUD'!$O$3:$O$112,'Calculator +1 tier'!$C56),IF($A$2=2,SUMIFS('Pricelist AUD'!$H$3:$H$112,'Pricelist AUD'!$O$3:$O$112,'Calculator +1 tier'!$C56),IF($A$2=3,SUMIFS('Pricelist AUD'!$I$3:$I$112,'Pricelist AUD'!$O$3:$O$112,'Calculator +1 tier'!$C56),IF($A$2=4,SUMIFS('Pricelist AUD'!$J$3:$J$112,'Pricelist AUD'!$O$3:$O$112,'Calculator +1 tier'!$C56),IF($A$2=5,SUMIFS('Pricelist AUD'!$K$3:$K$112,'Pricelist AUD'!$O$3:$O$112,'Calculator +1 tier'!$C56),IF($A$2=6,SUMIFS('Pricelist AUD'!$L$3:$L$112,'Pricelist AUD'!$O$3:$O$112,'Calculator +1 tier'!$C56),IF($A$2=7,SUMIFS('Pricelist AUD'!$M$3:$M$112,'Pricelist AUD'!$O$3:$O$112,'Calculator +1 tier'!$C56),IF($A$2=8,SUMIFS('Pricelist AUD'!$N$3:$N$112,'Pricelist AUD'!$O$3:$O$112,'Calculator +1 tier'!$C56),"")))))))),"")</f>
        <v/>
      </c>
      <c r="F56" s="628" t="str">
        <f t="shared" si="2"/>
        <v/>
      </c>
    </row>
    <row r="57" spans="1:6" ht="15" customHeight="1">
      <c r="A57" s="722"/>
      <c r="B57" s="817"/>
      <c r="C57" s="9" t="s">
        <v>88</v>
      </c>
      <c r="D57" s="23">
        <f>'Service-based'!E38</f>
        <v>0</v>
      </c>
      <c r="E57" s="626" t="str">
        <f>IF(D57&gt;0,IF($A$2=1,SUMIFS('Pricelist AUD'!$G$3:$G$112,'Pricelist AUD'!$O$3:$O$112,'Calculator +1 tier'!$C57),IF($A$2=2,SUMIFS('Pricelist AUD'!$H$3:$H$112,'Pricelist AUD'!$O$3:$O$112,'Calculator +1 tier'!$C57),IF($A$2=3,SUMIFS('Pricelist AUD'!$I$3:$I$112,'Pricelist AUD'!$O$3:$O$112,'Calculator +1 tier'!$C57),IF($A$2=4,SUMIFS('Pricelist AUD'!$J$3:$J$112,'Pricelist AUD'!$O$3:$O$112,'Calculator +1 tier'!$C57),IF($A$2=5,SUMIFS('Pricelist AUD'!$K$3:$K$112,'Pricelist AUD'!$O$3:$O$112,'Calculator +1 tier'!$C57),IF($A$2=6,SUMIFS('Pricelist AUD'!$L$3:$L$112,'Pricelist AUD'!$O$3:$O$112,'Calculator +1 tier'!$C57),IF($A$2=7,SUMIFS('Pricelist AUD'!$M$3:$M$112,'Pricelist AUD'!$O$3:$O$112,'Calculator +1 tier'!$C57),IF($A$2=8,SUMIFS('Pricelist AUD'!$N$3:$N$112,'Pricelist AUD'!$O$3:$O$112,'Calculator +1 tier'!$C57),"")))))))),"")</f>
        <v/>
      </c>
      <c r="F57" s="628" t="str">
        <f t="shared" si="2"/>
        <v/>
      </c>
    </row>
    <row r="58" spans="1:6" ht="17.45" customHeight="1">
      <c r="A58" s="22"/>
      <c r="B58" s="805" t="s">
        <v>164</v>
      </c>
      <c r="C58" s="806"/>
      <c r="D58" s="29"/>
      <c r="E58" s="634"/>
      <c r="F58" s="635"/>
    </row>
    <row r="59" spans="1:6" ht="15" customHeight="1">
      <c r="A59" s="798" t="s">
        <v>165</v>
      </c>
      <c r="B59" s="800" t="s">
        <v>89</v>
      </c>
      <c r="C59" s="9" t="str">
        <f>'Service-based'!C39</f>
        <v># Advanced Backup Physical Servers</v>
      </c>
      <c r="D59" s="23">
        <f>'Service-based'!E39</f>
        <v>0</v>
      </c>
      <c r="E59" s="626" t="str">
        <f>IF(D59&gt;0,IF($A$2=1,SUMIFS('Pricelist AUD'!$G$3:$G$112,'Pricelist AUD'!$O$3:$O$112,'Calculator +1 tier'!$C59),IF($A$2=2,SUMIFS('Pricelist AUD'!$H$3:$H$112,'Pricelist AUD'!$O$3:$O$112,'Calculator +1 tier'!$C59),IF($A$2=3,SUMIFS('Pricelist AUD'!$I$3:$I$112,'Pricelist AUD'!$O$3:$O$112,'Calculator +1 tier'!$C59),IF($A$2=4,SUMIFS('Pricelist AUD'!$J$3:$J$112,'Pricelist AUD'!$O$3:$O$112,'Calculator +1 tier'!$C59),IF($A$2=5,SUMIFS('Pricelist AUD'!$K$3:$K$112,'Pricelist AUD'!$O$3:$O$112,'Calculator +1 tier'!$C59),IF($A$2=6,SUMIFS('Pricelist AUD'!$L$3:$L$112,'Pricelist AUD'!$O$3:$O$112,'Calculator +1 tier'!$C59),IF($A$2=7,SUMIFS('Pricelist AUD'!$M$3:$M$112,'Pricelist AUD'!$O$3:$O$112,'Calculator +1 tier'!$C59),IF($A$2=8,SUMIFS('Pricelist AUD'!$N$3:$N$112,'Pricelist AUD'!$O$3:$O$112,'Calculator +1 tier'!$C59),"")))))))),"")</f>
        <v/>
      </c>
      <c r="F59" s="636" t="str">
        <f t="shared" ref="F59:F82" si="3">IFERROR(D59*E59,"")</f>
        <v/>
      </c>
    </row>
    <row r="60" spans="1:6" ht="14.45" customHeight="1">
      <c r="A60" s="798"/>
      <c r="B60" s="800"/>
      <c r="C60" s="9" t="str">
        <f>'Service-based'!C40</f>
        <v># Advanced Backup Virtual Machines</v>
      </c>
      <c r="D60" s="24">
        <f>'Service-based'!E40</f>
        <v>0</v>
      </c>
      <c r="E60" s="626" t="str">
        <f>IF(D60&gt;0,IF($A$2=1,SUMIFS('Pricelist AUD'!$G$3:$G$112,'Pricelist AUD'!$O$3:$O$112,'Calculator +1 tier'!$C60),IF($A$2=2,SUMIFS('Pricelist AUD'!$H$3:$H$112,'Pricelist AUD'!$O$3:$O$112,'Calculator +1 tier'!$C60),IF($A$2=3,SUMIFS('Pricelist AUD'!$I$3:$I$112,'Pricelist AUD'!$O$3:$O$112,'Calculator +1 tier'!$C60),IF($A$2=4,SUMIFS('Pricelist AUD'!$J$3:$J$112,'Pricelist AUD'!$O$3:$O$112,'Calculator +1 tier'!$C60),IF($A$2=5,SUMIFS('Pricelist AUD'!$K$3:$K$112,'Pricelist AUD'!$O$3:$O$112,'Calculator +1 tier'!$C60),IF($A$2=6,SUMIFS('Pricelist AUD'!$L$3:$L$112,'Pricelist AUD'!$O$3:$O$112,'Calculator +1 tier'!$C60),IF($A$2=7,SUMIFS('Pricelist AUD'!$M$3:$M$112,'Pricelist AUD'!$O$3:$O$112,'Calculator +1 tier'!$C60),IF($A$2=8,SUMIFS('Pricelist AUD'!$N$3:$N$112,'Pricelist AUD'!$O$3:$O$112,'Calculator +1 tier'!$C60),"")))))))),"")</f>
        <v/>
      </c>
      <c r="F60" s="637" t="str">
        <f t="shared" si="3"/>
        <v/>
      </c>
    </row>
    <row r="61" spans="1:6" ht="14.45" customHeight="1">
      <c r="A61" s="798"/>
      <c r="B61" s="800"/>
      <c r="C61" s="9" t="str">
        <f>'Service-based'!C41</f>
        <v># Advanced Backup Workstations</v>
      </c>
      <c r="D61" s="23">
        <f>'Service-based'!E41</f>
        <v>0</v>
      </c>
      <c r="E61" s="626" t="str">
        <f>IF(D61&gt;0,IF($A$2=1,SUMIFS('Pricelist AUD'!$G$3:$G$112,'Pricelist AUD'!$O$3:$O$112,'Calculator +1 tier'!$C61),IF($A$2=2,SUMIFS('Pricelist AUD'!$H$3:$H$112,'Pricelist AUD'!$O$3:$O$112,'Calculator +1 tier'!$C61),IF($A$2=3,SUMIFS('Pricelist AUD'!$I$3:$I$112,'Pricelist AUD'!$O$3:$O$112,'Calculator +1 tier'!$C61),IF($A$2=4,SUMIFS('Pricelist AUD'!$J$3:$J$112,'Pricelist AUD'!$O$3:$O$112,'Calculator +1 tier'!$C61),IF($A$2=5,SUMIFS('Pricelist AUD'!$K$3:$K$112,'Pricelist AUD'!$O$3:$O$112,'Calculator +1 tier'!$C61),IF($A$2=6,SUMIFS('Pricelist AUD'!$L$3:$L$112,'Pricelist AUD'!$O$3:$O$112,'Calculator +1 tier'!$C61),IF($A$2=7,SUMIFS('Pricelist AUD'!$M$3:$M$112,'Pricelist AUD'!$O$3:$O$112,'Calculator +1 tier'!$C61),IF($A$2=8,SUMIFS('Pricelist AUD'!$N$3:$N$112,'Pricelist AUD'!$O$3:$O$112,'Calculator +1 tier'!$C61),"")))))))),"")</f>
        <v/>
      </c>
      <c r="F61" s="636" t="str">
        <f t="shared" si="3"/>
        <v/>
      </c>
    </row>
    <row r="62" spans="1:6" ht="15" customHeight="1">
      <c r="A62" s="798"/>
      <c r="B62" s="800"/>
      <c r="C62" s="9" t="str">
        <f>'Service-based'!C42</f>
        <v># Advanced Backup Hosting Servers</v>
      </c>
      <c r="D62" s="24">
        <f>'Service-based'!E42</f>
        <v>0</v>
      </c>
      <c r="E62" s="626" t="str">
        <f>IF(D62&gt;0,IF($A$2=1,SUMIFS('Pricelist AUD'!$G$3:$G$112,'Pricelist AUD'!$O$3:$O$112,'Calculator +1 tier'!$C62),IF($A$2=2,SUMIFS('Pricelist AUD'!$H$3:$H$112,'Pricelist AUD'!$O$3:$O$112,'Calculator +1 tier'!$C62),IF($A$2=3,SUMIFS('Pricelist AUD'!$I$3:$I$112,'Pricelist AUD'!$O$3:$O$112,'Calculator +1 tier'!$C62),IF($A$2=4,SUMIFS('Pricelist AUD'!$J$3:$J$112,'Pricelist AUD'!$O$3:$O$112,'Calculator +1 tier'!$C62),IF($A$2=5,SUMIFS('Pricelist AUD'!$K$3:$K$112,'Pricelist AUD'!$O$3:$O$112,'Calculator +1 tier'!$C62),IF($A$2=6,SUMIFS('Pricelist AUD'!$L$3:$L$112,'Pricelist AUD'!$O$3:$O$112,'Calculator +1 tier'!$C62),IF($A$2=7,SUMIFS('Pricelist AUD'!$M$3:$M$112,'Pricelist AUD'!$O$3:$O$112,'Calculator +1 tier'!$C62),IF($A$2=8,SUMIFS('Pricelist AUD'!$N$3:$N$112,'Pricelist AUD'!$O$3:$O$112,'Calculator +1 tier'!$C62),"")))))))),"")</f>
        <v/>
      </c>
      <c r="F62" s="637" t="str">
        <f t="shared" si="3"/>
        <v/>
      </c>
    </row>
    <row r="63" spans="1:6" ht="15" customHeight="1">
      <c r="A63" s="798"/>
      <c r="B63" s="800"/>
      <c r="C63" s="9" t="str">
        <f>'Service-based'!C43</f>
        <v># Advanced Backup Microsoft 365 seats</v>
      </c>
      <c r="D63" s="23">
        <f>'Service-based'!E43</f>
        <v>0</v>
      </c>
      <c r="E63" s="626" t="str">
        <f>IF(D63&gt;0,IF($A$2=1,SUMIFS('Pricelist AUD'!$G$3:$G$112,'Pricelist AUD'!$O$3:$O$112,'Calculator +1 tier'!$C63),IF($A$2=2,SUMIFS('Pricelist AUD'!$H$3:$H$112,'Pricelist AUD'!$O$3:$O$112,'Calculator +1 tier'!$C63),IF($A$2=3,SUMIFS('Pricelist AUD'!$I$3:$I$112,'Pricelist AUD'!$O$3:$O$112,'Calculator +1 tier'!$C63),IF($A$2=4,SUMIFS('Pricelist AUD'!$J$3:$J$112,'Pricelist AUD'!$O$3:$O$112,'Calculator +1 tier'!$C63),IF($A$2=5,SUMIFS('Pricelist AUD'!$K$3:$K$112,'Pricelist AUD'!$O$3:$O$112,'Calculator +1 tier'!$C63),IF($A$2=6,SUMIFS('Pricelist AUD'!$L$3:$L$112,'Pricelist AUD'!$O$3:$O$112,'Calculator +1 tier'!$C63),IF($A$2=7,SUMIFS('Pricelist AUD'!$M$3:$M$112,'Pricelist AUD'!$O$3:$O$112,'Calculator +1 tier'!$C63),IF($A$2=8,SUMIFS('Pricelist AUD'!$N$3:$N$112,'Pricelist AUD'!$O$3:$O$112,'Calculator +1 tier'!$C63),"")))))))),"")</f>
        <v/>
      </c>
      <c r="F63" s="636" t="str">
        <f t="shared" si="3"/>
        <v/>
      </c>
    </row>
    <row r="64" spans="1:6" ht="15" customHeight="1">
      <c r="A64" s="798"/>
      <c r="B64" s="811"/>
      <c r="C64" s="9" t="str">
        <f>'Service-based'!C44</f>
        <v># Advanced Backup Google Workspace seats</v>
      </c>
      <c r="D64" s="30">
        <f>'Service-based'!E44</f>
        <v>0</v>
      </c>
      <c r="E64" s="626" t="str">
        <f>IF(D64&gt;0,IF($A$2=1,SUMIFS('Pricelist AUD'!$G$3:$G$112,'Pricelist AUD'!$O$3:$O$112,'Calculator +1 tier'!$C64),IF($A$2=2,SUMIFS('Pricelist AUD'!$H$3:$H$112,'Pricelist AUD'!$O$3:$O$112,'Calculator +1 tier'!$C64),IF($A$2=3,SUMIFS('Pricelist AUD'!$I$3:$I$112,'Pricelist AUD'!$O$3:$O$112,'Calculator +1 tier'!$C64),IF($A$2=4,SUMIFS('Pricelist AUD'!$J$3:$J$112,'Pricelist AUD'!$O$3:$O$112,'Calculator +1 tier'!$C64),IF($A$2=5,SUMIFS('Pricelist AUD'!$K$3:$K$112,'Pricelist AUD'!$O$3:$O$112,'Calculator +1 tier'!$C64),IF($A$2=6,SUMIFS('Pricelist AUD'!$L$3:$L$112,'Pricelist AUD'!$O$3:$O$112,'Calculator +1 tier'!$C64),IF($A$2=7,SUMIFS('Pricelist AUD'!$M$3:$M$112,'Pricelist AUD'!$O$3:$O$112,'Calculator +1 tier'!$C64),IF($A$2=8,SUMIFS('Pricelist AUD'!$N$3:$N$112,'Pricelist AUD'!$O$3:$O$112,'Calculator +1 tier'!$C64),"")))))))),"")</f>
        <v/>
      </c>
      <c r="F64" s="638" t="str">
        <f t="shared" si="3"/>
        <v/>
      </c>
    </row>
    <row r="65" spans="1:6" ht="14.45" customHeight="1">
      <c r="A65" s="798"/>
      <c r="B65" s="143" t="s">
        <v>166</v>
      </c>
      <c r="C65" s="15" t="s">
        <v>167</v>
      </c>
      <c r="D65" s="31">
        <f>'Service-based'!E15</f>
        <v>0</v>
      </c>
      <c r="E65" s="626" t="str">
        <f>IF(D65&gt;0,IF($A$2=1,SUMIFS('Pricelist AUD'!$G$3:$G$112,'Pricelist AUD'!$O$3:$O$112,'Calculator +1 tier'!$C65),IF($A$2=2,SUMIFS('Pricelist AUD'!$H$3:$H$112,'Pricelist AUD'!$O$3:$O$112,'Calculator +1 tier'!$C65),IF($A$2=3,SUMIFS('Pricelist AUD'!$I$3:$I$112,'Pricelist AUD'!$O$3:$O$112,'Calculator +1 tier'!$C65),IF($A$2=4,SUMIFS('Pricelist AUD'!$J$3:$J$112,'Pricelist AUD'!$O$3:$O$112,'Calculator +1 tier'!$C65),IF($A$2=5,SUMIFS('Pricelist AUD'!$K$3:$K$112,'Pricelist AUD'!$O$3:$O$112,'Calculator +1 tier'!$C65),IF($A$2=6,SUMIFS('Pricelist AUD'!$L$3:$L$112,'Pricelist AUD'!$O$3:$O$112,'Calculator +1 tier'!$C65),IF($A$2=7,SUMIFS('Pricelist AUD'!$M$3:$M$112,'Pricelist AUD'!$O$3:$O$112,'Calculator +1 tier'!$C65),IF($A$2=8,SUMIFS('Pricelist AUD'!$N$3:$N$112,'Pricelist AUD'!$O$3:$O$112,'Calculator +1 tier'!$C65),"")))))))),"")</f>
        <v/>
      </c>
      <c r="F65" s="639" t="str">
        <f t="shared" si="3"/>
        <v/>
      </c>
    </row>
    <row r="66" spans="1:6" ht="14.45" customHeight="1">
      <c r="A66" s="798"/>
      <c r="B66" s="143"/>
      <c r="C66" s="15" t="str">
        <f>'Service-based'!C13</f>
        <v># SaaS Security Posture Management Workloads (Microsoft 365 Seats)</v>
      </c>
      <c r="D66" s="31">
        <f>'Service-based'!E13</f>
        <v>0</v>
      </c>
      <c r="E66" s="626" t="str">
        <f>IF(D66&gt;0,IF($A$2=1,SUMIFS('Pricelist AUD'!$G$3:$G$112,'Pricelist AUD'!$O$3:$O$112,'Calculator +1 tier'!$C66),IF($A$2=2,SUMIFS('Pricelist AUD'!$H$3:$H$112,'Pricelist AUD'!$O$3:$O$112,'Calculator +1 tier'!$C66),IF($A$2=3,SUMIFS('Pricelist AUD'!$I$3:$I$112,'Pricelist AUD'!$O$3:$O$112,'Calculator +1 tier'!$C66),IF($A$2=4,SUMIFS('Pricelist AUD'!$J$3:$J$112,'Pricelist AUD'!$O$3:$O$112,'Calculator +1 tier'!$C66),IF($A$2=5,SUMIFS('Pricelist AUD'!$K$3:$K$112,'Pricelist AUD'!$O$3:$O$112,'Calculator +1 tier'!$C66),IF($A$2=6,SUMIFS('Pricelist AUD'!$L$3:$L$112,'Pricelist AUD'!$O$3:$O$112,'Calculator +1 tier'!$C66),IF($A$2=7,SUMIFS('Pricelist AUD'!$M$3:$M$112,'Pricelist AUD'!$O$3:$O$112,'Calculator +1 tier'!$C66),IF($A$2=8,SUMIFS('Pricelist AUD'!$N$3:$N$112,'Pricelist AUD'!$O$3:$O$112,'Calculator +1 tier'!$C66),"")))))))),"")</f>
        <v/>
      </c>
      <c r="F66" s="639" t="str">
        <f t="shared" si="3"/>
        <v/>
      </c>
    </row>
    <row r="67" spans="1:6" ht="14.45" customHeight="1">
      <c r="A67" s="798"/>
      <c r="B67" s="799" t="s">
        <v>168</v>
      </c>
      <c r="C67" s="16" t="s">
        <v>169</v>
      </c>
      <c r="D67" s="32">
        <f>'Service-based'!E6</f>
        <v>0</v>
      </c>
      <c r="E67" s="626" t="str">
        <f>IF(D67&gt;0,IF($A$2=1,SUMIFS('Pricelist AUD'!$G$3:$G$112,'Pricelist AUD'!$O$3:$O$112,'Calculator +1 tier'!$C67),IF($A$2=2,SUMIFS('Pricelist AUD'!$H$3:$H$112,'Pricelist AUD'!$O$3:$O$112,'Calculator +1 tier'!$C67),IF($A$2=3,SUMIFS('Pricelist AUD'!$I$3:$I$112,'Pricelist AUD'!$O$3:$O$112,'Calculator +1 tier'!$C67),IF($A$2=4,SUMIFS('Pricelist AUD'!$J$3:$J$112,'Pricelist AUD'!$O$3:$O$112,'Calculator +1 tier'!$C67),IF($A$2=5,SUMIFS('Pricelist AUD'!$K$3:$K$112,'Pricelist AUD'!$O$3:$O$112,'Calculator +1 tier'!$C67),IF($A$2=6,SUMIFS('Pricelist AUD'!$L$3:$L$112,'Pricelist AUD'!$O$3:$O$112,'Calculator +1 tier'!$C67),IF($A$2=7,SUMIFS('Pricelist AUD'!$M$3:$M$112,'Pricelist AUD'!$O$3:$O$112,'Calculator +1 tier'!$C67),IF($A$2=8,SUMIFS('Pricelist AUD'!$N$3:$N$112,'Pricelist AUD'!$O$3:$O$112,'Calculator +1 tier'!$C67),"")))))))),"")</f>
        <v/>
      </c>
      <c r="F67" s="640" t="str">
        <f t="shared" si="3"/>
        <v/>
      </c>
    </row>
    <row r="68" spans="1:6" ht="14.45" customHeight="1">
      <c r="A68" s="798"/>
      <c r="B68" s="800"/>
      <c r="C68" s="16" t="s">
        <v>170</v>
      </c>
      <c r="D68" s="32">
        <f>'Service-based'!E7</f>
        <v>0</v>
      </c>
      <c r="E68" s="626" t="str">
        <f>IF(D68&gt;0,IF($A$2=1,SUMIFS('Pricelist AUD'!$G$3:$G$112,'Pricelist AUD'!$O$3:$O$112,'Calculator +1 tier'!$C68),IF($A$2=2,SUMIFS('Pricelist AUD'!$H$3:$H$112,'Pricelist AUD'!$O$3:$O$112,'Calculator +1 tier'!$C68),IF($A$2=3,SUMIFS('Pricelist AUD'!$I$3:$I$112,'Pricelist AUD'!$O$3:$O$112,'Calculator +1 tier'!$C68),IF($A$2=4,SUMIFS('Pricelist AUD'!$J$3:$J$112,'Pricelist AUD'!$O$3:$O$112,'Calculator +1 tier'!$C68),IF($A$2=5,SUMIFS('Pricelist AUD'!$K$3:$K$112,'Pricelist AUD'!$O$3:$O$112,'Calculator +1 tier'!$C68),IF($A$2=6,SUMIFS('Pricelist AUD'!$L$3:$L$112,'Pricelist AUD'!$O$3:$O$112,'Calculator +1 tier'!$C68),IF($A$2=7,SUMIFS('Pricelist AUD'!$M$3:$M$112,'Pricelist AUD'!$O$3:$O$112,'Calculator +1 tier'!$C68),IF($A$2=8,SUMIFS('Pricelist AUD'!$N$3:$N$112,'Pricelist AUD'!$O$3:$O$112,'Calculator +1 tier'!$C68),"")))))))),"")</f>
        <v/>
      </c>
      <c r="F68" s="640" t="str">
        <f t="shared" si="3"/>
        <v/>
      </c>
    </row>
    <row r="69" spans="1:6" ht="14.45" customHeight="1">
      <c r="A69" s="798"/>
      <c r="B69" s="800"/>
      <c r="C69" s="16" t="s">
        <v>171</v>
      </c>
      <c r="D69" s="32">
        <f>'Service-based'!E8</f>
        <v>0</v>
      </c>
      <c r="E69" s="626" t="str">
        <f>IF(D69&gt;0,IF($A$2=1,SUMIFS('Pricelist AUD'!$G$3:$G$112,'Pricelist AUD'!$O$3:$O$112,'Calculator +1 tier'!$C69),IF($A$2=2,SUMIFS('Pricelist AUD'!$H$3:$H$112,'Pricelist AUD'!$O$3:$O$112,'Calculator +1 tier'!$C69),IF($A$2=3,SUMIFS('Pricelist AUD'!$I$3:$I$112,'Pricelist AUD'!$O$3:$O$112,'Calculator +1 tier'!$C69),IF($A$2=4,SUMIFS('Pricelist AUD'!$J$3:$J$112,'Pricelist AUD'!$O$3:$O$112,'Calculator +1 tier'!$C69),IF($A$2=5,SUMIFS('Pricelist AUD'!$K$3:$K$112,'Pricelist AUD'!$O$3:$O$112,'Calculator +1 tier'!$C69),IF($A$2=6,SUMIFS('Pricelist AUD'!$L$3:$L$112,'Pricelist AUD'!$O$3:$O$112,'Calculator +1 tier'!$C69),IF($A$2=7,SUMIFS('Pricelist AUD'!$M$3:$M$112,'Pricelist AUD'!$O$3:$O$112,'Calculator +1 tier'!$C69),IF($A$2=8,SUMIFS('Pricelist AUD'!$N$3:$N$112,'Pricelist AUD'!$O$3:$O$112,'Calculator +1 tier'!$C69),"")))))))),"")</f>
        <v/>
      </c>
      <c r="F69" s="640" t="str">
        <f t="shared" si="3"/>
        <v/>
      </c>
    </row>
    <row r="70" spans="1:6" ht="14.45" customHeight="1">
      <c r="A70" s="798"/>
      <c r="B70" s="801"/>
      <c r="C70" s="16" t="s">
        <v>172</v>
      </c>
      <c r="D70" s="32">
        <f>'Service-based'!E9</f>
        <v>0</v>
      </c>
      <c r="E70" s="626" t="str">
        <f>IF(D70&gt;0,IF($A$2=1,SUMIFS('Pricelist AUD'!$G$3:$G$112,'Pricelist AUD'!$O$3:$O$112,'Calculator +1 tier'!$C70),IF($A$2=2,SUMIFS('Pricelist AUD'!$H$3:$H$112,'Pricelist AUD'!$O$3:$O$112,'Calculator +1 tier'!$C70),IF($A$2=3,SUMIFS('Pricelist AUD'!$I$3:$I$112,'Pricelist AUD'!$O$3:$O$112,'Calculator +1 tier'!$C70),IF($A$2=4,SUMIFS('Pricelist AUD'!$J$3:$J$112,'Pricelist AUD'!$O$3:$O$112,'Calculator +1 tier'!$C70),IF($A$2=5,SUMIFS('Pricelist AUD'!$K$3:$K$112,'Pricelist AUD'!$O$3:$O$112,'Calculator +1 tier'!$C70),IF($A$2=6,SUMIFS('Pricelist AUD'!$L$3:$L$112,'Pricelist AUD'!$O$3:$O$112,'Calculator +1 tier'!$C70),IF($A$2=7,SUMIFS('Pricelist AUD'!$M$3:$M$112,'Pricelist AUD'!$O$3:$O$112,'Calculator +1 tier'!$C70),IF($A$2=8,SUMIFS('Pricelist AUD'!$N$3:$N$112,'Pricelist AUD'!$O$3:$O$112,'Calculator +1 tier'!$C70),"")))))))),"")</f>
        <v/>
      </c>
      <c r="F70" s="639" t="str">
        <f t="shared" si="3"/>
        <v/>
      </c>
    </row>
    <row r="71" spans="1:6" ht="27.95" customHeight="1">
      <c r="A71" s="798"/>
      <c r="B71" s="799" t="s">
        <v>173</v>
      </c>
      <c r="C71" s="16" t="s">
        <v>174</v>
      </c>
      <c r="D71" s="32">
        <f>'Service-based'!E11</f>
        <v>0</v>
      </c>
      <c r="E71" s="626" t="str">
        <f>IF(D71&gt;0,IF($A$2=1,SUMIFS('Pricelist AUD'!$G$3:$G$112,'Pricelist AUD'!$O$3:$O$112,'Calculator +1 tier'!$C71),IF($A$2=2,SUMIFS('Pricelist AUD'!$H$3:$H$112,'Pricelist AUD'!$O$3:$O$112,'Calculator +1 tier'!$C71),IF($A$2=3,SUMIFS('Pricelist AUD'!$I$3:$I$112,'Pricelist AUD'!$O$3:$O$112,'Calculator +1 tier'!$C71),IF($A$2=4,SUMIFS('Pricelist AUD'!$J$3:$J$112,'Pricelist AUD'!$O$3:$O$112,'Calculator +1 tier'!$C71),IF($A$2=5,SUMIFS('Pricelist AUD'!$K$3:$K$112,'Pricelist AUD'!$O$3:$O$112,'Calculator +1 tier'!$C71),IF($A$2=6,SUMIFS('Pricelist AUD'!$L$3:$L$112,'Pricelist AUD'!$O$3:$O$112,'Calculator +1 tier'!$C71),IF($A$2=7,SUMIFS('Pricelist AUD'!$M$3:$M$112,'Pricelist AUD'!$O$3:$O$112,'Calculator +1 tier'!$C71),IF($A$2=8,SUMIFS('Pricelist AUD'!$N$3:$N$112,'Pricelist AUD'!$O$3:$O$112,'Calculator +1 tier'!$C71),"")))))))),"")</f>
        <v/>
      </c>
      <c r="F71" s="640" t="str">
        <f t="shared" si="3"/>
        <v/>
      </c>
    </row>
    <row r="72" spans="1:6" ht="15" customHeight="1">
      <c r="A72" s="798"/>
      <c r="B72" s="811"/>
      <c r="C72" s="172" t="s">
        <v>175</v>
      </c>
      <c r="D72" s="136">
        <f>'Service-based'!E12</f>
        <v>0</v>
      </c>
      <c r="E72" s="626" t="str">
        <f>IF(D72&gt;0,IF($A$2=1,SUMIFS('Pricelist AUD'!$G$3:$G$112,'Pricelist AUD'!$O$3:$O$112,'Calculator +1 tier'!$C72),IF($A$2=2,SUMIFS('Pricelist AUD'!$H$3:$H$112,'Pricelist AUD'!$O$3:$O$112,'Calculator +1 tier'!$C72),IF($A$2=3,SUMIFS('Pricelist AUD'!$I$3:$I$112,'Pricelist AUD'!$O$3:$O$112,'Calculator +1 tier'!$C72),IF($A$2=4,SUMIFS('Pricelist AUD'!$J$3:$J$112,'Pricelist AUD'!$O$3:$O$112,'Calculator +1 tier'!$C72),IF($A$2=5,SUMIFS('Pricelist AUD'!$K$3:$K$112,'Pricelist AUD'!$O$3:$O$112,'Calculator +1 tier'!$C72),IF($A$2=6,SUMIFS('Pricelist AUD'!$L$3:$L$112,'Pricelist AUD'!$O$3:$O$112,'Calculator +1 tier'!$C72),IF($A$2=7,SUMIFS('Pricelist AUD'!$M$3:$M$112,'Pricelist AUD'!$O$3:$O$112,'Calculator +1 tier'!$C72),IF($A$2=8,SUMIFS('Pricelist AUD'!$N$3:$N$112,'Pricelist AUD'!$O$3:$O$112,'Calculator +1 tier'!$C72),"")))))))),"")</f>
        <v/>
      </c>
      <c r="F72" s="641" t="str">
        <f t="shared" si="3"/>
        <v/>
      </c>
    </row>
    <row r="73" spans="1:6" ht="14.45" customHeight="1">
      <c r="A73" s="798"/>
      <c r="B73" s="144" t="s">
        <v>32</v>
      </c>
      <c r="C73" s="172" t="str">
        <f>'Service-based'!C14</f>
        <v># Security Awareness Training (Users)</v>
      </c>
      <c r="D73" s="136">
        <f>'Service-based'!E14</f>
        <v>0</v>
      </c>
      <c r="E73" s="626" t="str">
        <f>IF(D73&gt;0,IF($A$2=1,SUMIFS('Pricelist AUD'!$G$3:$G$112,'Pricelist AUD'!$O$3:$O$112,'Calculator +1 tier'!$C73),IF($A$2=2,SUMIFS('Pricelist AUD'!$H$3:$H$112,'Pricelist AUD'!$O$3:$O$112,'Calculator +1 tier'!$C73),IF($A$2=3,SUMIFS('Pricelist AUD'!$I$3:$I$112,'Pricelist AUD'!$O$3:$O$112,'Calculator +1 tier'!$C73),IF($A$2=4,SUMIFS('Pricelist AUD'!$J$3:$J$112,'Pricelist AUD'!$O$3:$O$112,'Calculator +1 tier'!$C73),IF($A$2=5,SUMIFS('Pricelist AUD'!$K$3:$K$112,'Pricelist AUD'!$O$3:$O$112,'Calculator +1 tier'!$C73),IF($A$2=6,SUMIFS('Pricelist AUD'!$L$3:$L$112,'Pricelist AUD'!$O$3:$O$112,'Calculator +1 tier'!$C73),IF($A$2=7,SUMIFS('Pricelist AUD'!$M$3:$M$112,'Pricelist AUD'!$O$3:$O$112,'Calculator +1 tier'!$C73),IF($A$2=8,SUMIFS('Pricelist AUD'!$N$3:$N$112,'Pricelist AUD'!$O$3:$O$112,'Calculator +1 tier'!$C73),"")))))))),"")</f>
        <v/>
      </c>
      <c r="F73" s="641" t="str">
        <f t="shared" si="3"/>
        <v/>
      </c>
    </row>
    <row r="74" spans="1:6">
      <c r="A74" s="798"/>
      <c r="B74" s="106" t="s">
        <v>176</v>
      </c>
      <c r="C74" s="126" t="str">
        <f>'Service-based'!C10</f>
        <v># Data Loss Prevention Workloads (Servers, VMs, Workstations, Hosting Servers)</v>
      </c>
      <c r="D74" s="127">
        <f>'Service-based'!E10</f>
        <v>0</v>
      </c>
      <c r="E74" s="626" t="str">
        <f>IF(D74&gt;0,IF($A$2=1,SUMIFS('Pricelist AUD'!$G$3:$G$112,'Pricelist AUD'!$O$3:$O$112,'Calculator +1 tier'!$C74),IF($A$2=2,SUMIFS('Pricelist AUD'!$H$3:$H$112,'Pricelist AUD'!$O$3:$O$112,'Calculator +1 tier'!$C74),IF($A$2=3,SUMIFS('Pricelist AUD'!$I$3:$I$112,'Pricelist AUD'!$O$3:$O$112,'Calculator +1 tier'!$C74),IF($A$2=4,SUMIFS('Pricelist AUD'!$J$3:$J$112,'Pricelist AUD'!$O$3:$O$112,'Calculator +1 tier'!$C74),IF($A$2=5,SUMIFS('Pricelist AUD'!$K$3:$K$112,'Pricelist AUD'!$O$3:$O$112,'Calculator +1 tier'!$C74),IF($A$2=6,SUMIFS('Pricelist AUD'!$L$3:$L$112,'Pricelist AUD'!$O$3:$O$112,'Calculator +1 tier'!$C74),IF($A$2=7,SUMIFS('Pricelist AUD'!$M$3:$M$112,'Pricelist AUD'!$O$3:$O$112,'Calculator +1 tier'!$C74),IF($A$2=8,SUMIFS('Pricelist AUD'!$N$3:$N$112,'Pricelist AUD'!$O$3:$O$112,'Calculator +1 tier'!$C74),"")))))))),"")</f>
        <v/>
      </c>
      <c r="F74" s="642" t="str">
        <f t="shared" si="3"/>
        <v/>
      </c>
    </row>
    <row r="75" spans="1:6" ht="14.45" customHeight="1">
      <c r="A75" s="798"/>
      <c r="B75" s="106" t="s">
        <v>177</v>
      </c>
      <c r="C75" s="128" t="s">
        <v>178</v>
      </c>
      <c r="D75" s="42">
        <f>'Service-based'!E16</f>
        <v>0</v>
      </c>
      <c r="E75" s="626" t="str">
        <f>IF(D75&gt;0,IF($A$2=1,SUMIFS('Pricelist AUD'!$G$3:$G$112,'Pricelist AUD'!$O$3:$O$112,'Calculator +1 tier'!$C75),IF($A$2=2,SUMIFS('Pricelist AUD'!$H$3:$H$112,'Pricelist AUD'!$O$3:$O$112,'Calculator +1 tier'!$C75),IF($A$2=3,SUMIFS('Pricelist AUD'!$I$3:$I$112,'Pricelist AUD'!$O$3:$O$112,'Calculator +1 tier'!$C75),IF($A$2=4,SUMIFS('Pricelist AUD'!$J$3:$J$112,'Pricelist AUD'!$O$3:$O$112,'Calculator +1 tier'!$C75),IF($A$2=5,SUMIFS('Pricelist AUD'!$K$3:$K$112,'Pricelist AUD'!$O$3:$O$112,'Calculator +1 tier'!$C75),IF($A$2=6,SUMIFS('Pricelist AUD'!$L$3:$L$112,'Pricelist AUD'!$O$3:$O$112,'Calculator +1 tier'!$C75),IF($A$2=7,SUMIFS('Pricelist AUD'!$M$3:$M$112,'Pricelist AUD'!$O$3:$O$112,'Calculator +1 tier'!$C75),IF($A$2=8,SUMIFS('Pricelist AUD'!$N$3:$N$112,'Pricelist AUD'!$O$3:$O$112,'Calculator +1 tier'!$C75),"")))))))),"")</f>
        <v/>
      </c>
      <c r="F75" s="642" t="str">
        <f t="shared" si="3"/>
        <v/>
      </c>
    </row>
    <row r="76" spans="1:6" ht="14.45" customHeight="1">
      <c r="A76" s="798"/>
      <c r="B76" s="812" t="s">
        <v>179</v>
      </c>
      <c r="C76" s="129" t="s">
        <v>97</v>
      </c>
      <c r="D76" s="130">
        <f>'Service-based'!E45</f>
        <v>0</v>
      </c>
      <c r="E76" s="626" t="str">
        <f>IF(D76&gt;0,IF($A$2=1,SUMIFS('Pricelist AUD'!$G$3:$G$112,'Pricelist AUD'!$O$3:$O$112,'Calculator +1 tier'!$C76,'Pricelist AUD'!$E$3:$E$112,$D$3),IF($A$2=2,SUMIFS('Pricelist AUD'!$H$3:$H$112,'Pricelist AUD'!$O$3:$O$112,'Calculator +1 tier'!$C76,'Pricelist AUD'!$E$3:$E$112,$D$3),IF($A$2=3,SUMIFS('Pricelist AUD'!$I$3:$I$112,'Pricelist AUD'!$O$3:$O$112,'Calculator +1 tier'!$C76,'Pricelist AUD'!$E$3:$E$112,$D$3),IF($A$2=4,SUMIFS('Pricelist AUD'!$J$3:$J$112,'Pricelist AUD'!$O$3:$O$112,'Calculator +1 tier'!$C76,'Pricelist AUD'!$E$3:$E$112,$D$3),IF($A$2=5,SUMIFS('Pricelist AUD'!$K$3:$K$112,'Pricelist AUD'!$O$3:$O$112,'Calculator +1 tier'!$C76,'Pricelist AUD'!$E$3:$E$112,$D$3),IF($A$2=6,SUMIFS('Pricelist AUD'!$L$3:$L$112,'Pricelist AUD'!$O$3:$O$112,'Calculator +1 tier'!$C76,'Pricelist AUD'!$E$3:$E$112,$D$3),IF($A$2=7,SUMIFS('Pricelist AUD'!$M$3:$M$112,'Pricelist AUD'!$O$3:$O$112,'Calculator +1 tier'!$C76,'Pricelist AUD'!$E$3:$E$112,$D$3),IF($A$2=8,SUMIFS('Pricelist AUD'!$N$3:$N$112,'Pricelist AUD'!$O$3:$O$112,'Calculator +1 tier'!$C76,'Pricelist AUD'!$E$3:$E$112,$D$3),"")))))))),"")</f>
        <v/>
      </c>
      <c r="F76" s="643" t="str">
        <f t="shared" si="3"/>
        <v/>
      </c>
    </row>
    <row r="77" spans="1:6" ht="14.45" customHeight="1">
      <c r="A77" s="798"/>
      <c r="B77" s="802"/>
      <c r="C77" s="12" t="s">
        <v>98</v>
      </c>
      <c r="D77" s="24">
        <f>'Service-based'!E46</f>
        <v>0</v>
      </c>
      <c r="E77" s="626" t="str">
        <f>IF(D77&gt;0,IF($A$2=1,SUMIFS('Pricelist AUD'!$G$3:$G$112,'Pricelist AUD'!$O$3:$O$112,'Calculator +1 tier'!$C77),IF($A$2=2,SUMIFS('Pricelist AUD'!$H$3:$H$112,'Pricelist AUD'!$O$3:$O$112,'Calculator +1 tier'!$C77),IF($A$2=3,SUMIFS('Pricelist AUD'!$I$3:$I$112,'Pricelist AUD'!$O$3:$O$112,'Calculator +1 tier'!$C77),IF($A$2=4,SUMIFS('Pricelist AUD'!$J$3:$J$112,'Pricelist AUD'!$O$3:$O$112,'Calculator +1 tier'!$C77),IF($A$2=5,SUMIFS('Pricelist AUD'!$K$3:$K$112,'Pricelist AUD'!$O$3:$O$112,'Calculator +1 tier'!$C77),IF($A$2=6,SUMIFS('Pricelist AUD'!$L$3:$L$112,'Pricelist AUD'!$O$3:$O$112,'Calculator +1 tier'!$C77),IF($A$2=7,SUMIFS('Pricelist AUD'!$M$3:$M$112,'Pricelist AUD'!$O$3:$O$112,'Calculator +1 tier'!$C77),IF($A$2=8,SUMIFS('Pricelist AUD'!$N$3:$N$112,'Pricelist AUD'!$O$3:$O$112,'Calculator +1 tier'!$C77),"")))))))),"")</f>
        <v/>
      </c>
      <c r="F77" s="637" t="str">
        <f t="shared" si="3"/>
        <v/>
      </c>
    </row>
    <row r="78" spans="1:6" ht="14.45" customHeight="1">
      <c r="A78" s="798"/>
      <c r="B78" s="802"/>
      <c r="C78" s="9" t="s">
        <v>99</v>
      </c>
      <c r="D78" s="125" t="str">
        <f>'Service-based'!E47</f>
        <v/>
      </c>
      <c r="E78" s="626" t="str">
        <f>IF(D78&gt;0,IF($A$2=1,SUMIFS('Pricelist AUD'!$G$3:$G$112,'Pricelist AUD'!$O$3:$O$112,'Calculator +1 tier'!$C78),IF($A$2=2,SUMIFS('Pricelist AUD'!$H$3:$H$112,'Pricelist AUD'!$O$3:$O$112,'Calculator +1 tier'!$C78),IF($A$2=3,SUMIFS('Pricelist AUD'!$I$3:$I$112,'Pricelist AUD'!$O$3:$O$112,'Calculator +1 tier'!$C78),IF($A$2=4,SUMIFS('Pricelist AUD'!$J$3:$J$112,'Pricelist AUD'!$O$3:$O$112,'Calculator +1 tier'!$C78),IF($A$2=5,SUMIFS('Pricelist AUD'!$K$3:$K$112,'Pricelist AUD'!$O$3:$O$112,'Calculator +1 tier'!$C78),IF($A$2=6,SUMIFS('Pricelist AUD'!$L$3:$L$112,'Pricelist AUD'!$O$3:$O$112,'Calculator +1 tier'!$C78),IF($A$2=7,SUMIFS('Pricelist AUD'!$M$3:$M$112,'Pricelist AUD'!$O$3:$O$112,'Calculator +1 tier'!$C78),IF($A$2=8,SUMIFS('Pricelist AUD'!$N$3:$N$112,'Pricelist AUD'!$O$3:$O$112,'Calculator +1 tier'!$C78),"")))))))),"")</f>
        <v/>
      </c>
      <c r="F78" s="637" t="str">
        <f t="shared" si="3"/>
        <v/>
      </c>
    </row>
    <row r="79" spans="1:6" ht="14.45" customHeight="1">
      <c r="A79" s="798"/>
      <c r="B79" s="802"/>
      <c r="C79" s="9" t="str">
        <f>'Service-based'!C49</f>
        <v># DR and Direct Backup to Azure workloads</v>
      </c>
      <c r="D79" s="132">
        <f>'Service-based'!E49</f>
        <v>0</v>
      </c>
      <c r="E79" s="626" t="str">
        <f>IF(D79&gt;0,IF($A$2=1,SUMIFS('Pricelist AUD'!$G$3:$G$112,'Pricelist AUD'!$O$3:$O$112,'Calculator +1 tier'!$C79),IF($A$2=2,SUMIFS('Pricelist AUD'!$H$3:$H$112,'Pricelist AUD'!$O$3:$O$112,'Calculator +1 tier'!$C79),IF($A$2=3,SUMIFS('Pricelist AUD'!$I$3:$I$112,'Pricelist AUD'!$O$3:$O$112,'Calculator +1 tier'!$C79),IF($A$2=4,SUMIFS('Pricelist AUD'!$J$3:$J$112,'Pricelist AUD'!$O$3:$O$112,'Calculator +1 tier'!$C79),IF($A$2=5,SUMIFS('Pricelist AUD'!$K$3:$K$112,'Pricelist AUD'!$O$3:$O$112,'Calculator +1 tier'!$C79),IF($A$2=6,SUMIFS('Pricelist AUD'!$L$3:$L$112,'Pricelist AUD'!$O$3:$O$112,'Calculator +1 tier'!$C79),IF($A$2=7,SUMIFS('Pricelist AUD'!$M$3:$M$112,'Pricelist AUD'!$O$3:$O$112,'Calculator +1 tier'!$C79),IF($A$2=8,SUMIFS('Pricelist AUD'!$N$3:$N$112,'Pricelist AUD'!$O$3:$O$112,'Calculator +1 tier'!$C79),"")))))))),"")</f>
        <v/>
      </c>
      <c r="F79" s="637" t="str">
        <f t="shared" si="3"/>
        <v/>
      </c>
    </row>
    <row r="80" spans="1:6" ht="15" customHeight="1">
      <c r="A80" s="798"/>
      <c r="B80" s="803"/>
      <c r="C80" s="131" t="s">
        <v>100</v>
      </c>
      <c r="D80" s="132">
        <f>'Service-based'!E48</f>
        <v>0</v>
      </c>
      <c r="E80" s="626" t="str">
        <f>IF(D80&gt;0,IF($A$2=1,SUMIFS('Pricelist AUD'!$G$3:$G$112,'Pricelist AUD'!$O$3:$O$112,'Calculator +1 tier'!$C80),IF($A$2=2,SUMIFS('Pricelist AUD'!$H$3:$H$112,'Pricelist AUD'!$O$3:$O$112,'Calculator +1 tier'!$C80),IF($A$2=3,SUMIFS('Pricelist AUD'!$I$3:$I$112,'Pricelist AUD'!$O$3:$O$112,'Calculator +1 tier'!$C80),IF($A$2=4,SUMIFS('Pricelist AUD'!$J$3:$J$112,'Pricelist AUD'!$O$3:$O$112,'Calculator +1 tier'!$C80),IF($A$2=5,SUMIFS('Pricelist AUD'!$K$3:$K$112,'Pricelist AUD'!$O$3:$O$112,'Calculator +1 tier'!$C80),IF($A$2=6,SUMIFS('Pricelist AUD'!$L$3:$L$112,'Pricelist AUD'!$O$3:$O$112,'Calculator +1 tier'!$C80),IF($A$2=7,SUMIFS('Pricelist AUD'!$M$3:$M$112,'Pricelist AUD'!$O$3:$O$112,'Calculator +1 tier'!$C80),IF($A$2=8,SUMIFS('Pricelist AUD'!$N$3:$N$112,'Pricelist AUD'!$O$3:$O$112,'Calculator +1 tier'!$C80),"")))))))),"")</f>
        <v/>
      </c>
      <c r="F80" s="644" t="str">
        <f t="shared" si="3"/>
        <v/>
      </c>
    </row>
    <row r="81" spans="1:6" ht="15" customHeight="1">
      <c r="A81" s="798"/>
      <c r="B81" s="802" t="s">
        <v>180</v>
      </c>
      <c r="C81" s="9" t="s">
        <v>119</v>
      </c>
      <c r="D81" s="23">
        <f>'Service-based'!E61</f>
        <v>0</v>
      </c>
      <c r="E81" s="626" t="str">
        <f>IF(D81&gt;0,IF($A$2=1,SUMIFS('Pricelist AUD'!$G$3:$G$112,'Pricelist AUD'!$O$3:$O$112,'Calculator +1 tier'!$C81),IF($A$2=2,SUMIFS('Pricelist AUD'!$H$3:$H$112,'Pricelist AUD'!$O$3:$O$112,'Calculator +1 tier'!$C81),IF($A$2=3,SUMIFS('Pricelist AUD'!$I$3:$I$112,'Pricelist AUD'!$O$3:$O$112,'Calculator +1 tier'!$C81),IF($A$2=4,SUMIFS('Pricelist AUD'!$J$3:$J$112,'Pricelist AUD'!$O$3:$O$112,'Calculator +1 tier'!$C81),IF($A$2=5,SUMIFS('Pricelist AUD'!$K$3:$K$112,'Pricelist AUD'!$O$3:$O$112,'Calculator +1 tier'!$C81),IF($A$2=6,SUMIFS('Pricelist AUD'!$L$3:$L$112,'Pricelist AUD'!$O$3:$O$112,'Calculator +1 tier'!$C81),IF($A$2=7,SUMIFS('Pricelist AUD'!$M$3:$M$112,'Pricelist AUD'!$O$3:$O$112,'Calculator +1 tier'!$C81),IF($A$2=8,SUMIFS('Pricelist AUD'!$N$3:$N$112,'Pricelist AUD'!$O$3:$O$112,'Calculator +1 tier'!$C81),"")))))))),"")</f>
        <v/>
      </c>
      <c r="F81" s="636" t="str">
        <f t="shared" si="3"/>
        <v/>
      </c>
    </row>
    <row r="82" spans="1:6" ht="15" customHeight="1">
      <c r="A82" s="798"/>
      <c r="B82" s="803"/>
      <c r="C82" s="12" t="s">
        <v>121</v>
      </c>
      <c r="D82" s="24">
        <f>'Service-based'!E62</f>
        <v>0</v>
      </c>
      <c r="E82" s="626" t="str">
        <f>IF(D82&gt;0,IF($A$2=1,SUMIFS('Pricelist AUD'!$G$3:$G$112,'Pricelist AUD'!$O$3:$O$112,'Calculator +1 tier'!$C82),IF($A$2=2,SUMIFS('Pricelist AUD'!$H$3:$H$112,'Pricelist AUD'!$O$3:$O$112,'Calculator +1 tier'!$C82),IF($A$2=3,SUMIFS('Pricelist AUD'!$I$3:$I$112,'Pricelist AUD'!$O$3:$O$112,'Calculator +1 tier'!$C82),IF($A$2=4,SUMIFS('Pricelist AUD'!$J$3:$J$112,'Pricelist AUD'!$O$3:$O$112,'Calculator +1 tier'!$C82),IF($A$2=5,SUMIFS('Pricelist AUD'!$K$3:$K$112,'Pricelist AUD'!$O$3:$O$112,'Calculator +1 tier'!$C82),IF($A$2=6,SUMIFS('Pricelist AUD'!$L$3:$L$112,'Pricelist AUD'!$O$3:$O$112,'Calculator +1 tier'!$C82),IF($A$2=7,SUMIFS('Pricelist AUD'!$M$3:$M$112,'Pricelist AUD'!$O$3:$O$112,'Calculator +1 tier'!$C82),IF($A$2=8,SUMIFS('Pricelist AUD'!$N$3:$N$112,'Pricelist AUD'!$O$3:$O$112,'Calculator +1 tier'!$C82),"")))))))),"")</f>
        <v/>
      </c>
      <c r="F82" s="637" t="str">
        <f t="shared" si="3"/>
        <v/>
      </c>
    </row>
    <row r="83" spans="1:6" ht="21" customHeight="1">
      <c r="A83" s="804" t="s">
        <v>112</v>
      </c>
      <c r="B83" s="807" t="s">
        <v>181</v>
      </c>
      <c r="C83" s="806"/>
      <c r="D83" s="35"/>
      <c r="E83" s="584"/>
      <c r="F83" s="635"/>
    </row>
    <row r="84" spans="1:6" ht="14.45" customHeight="1">
      <c r="A84" s="804"/>
      <c r="B84" s="802" t="s">
        <v>78</v>
      </c>
      <c r="C84" s="9" t="s">
        <v>113</v>
      </c>
      <c r="D84" s="33">
        <f>'Service-based'!E57</f>
        <v>0</v>
      </c>
      <c r="E84" s="626" t="str">
        <f>IF(D84&gt;0,IF($A$2=1,SUMIFS('Pricelist AUD'!$G$3:$G$112,'Pricelist AUD'!$O$3:$O$112,'Calculator +1 tier'!$C84,'Pricelist AUD'!$E$3:$E$112,$D$3),IF($A$2=2,SUMIFS('Pricelist AUD'!$H$3:$H$112,'Pricelist AUD'!$O$3:$O$112,'Calculator +1 tier'!$C84,'Pricelist AUD'!$E$3:$E$112,$D$3),IF($A$2=3,SUMIFS('Pricelist AUD'!$I$3:$I$112,'Pricelist AUD'!$O$3:$O$112,'Calculator +1 tier'!$C84,'Pricelist AUD'!$E$3:$E$112,$D$3),IF($A$2=4,SUMIFS('Pricelist AUD'!$J$3:$J$112,'Pricelist AUD'!$O$3:$O$112,'Calculator +1 tier'!$C84,'Pricelist AUD'!$E$3:$E$112,$D$3),IF($A$2=5,SUMIFS('Pricelist AUD'!$K$3:$K$112,'Pricelist AUD'!$O$3:$O$112,'Calculator +1 tier'!$C84,'Pricelist AUD'!$E$3:$E$112,$D$3),IF($A$2=6,SUMIFS('Pricelist AUD'!$L$3:$L$112,'Pricelist AUD'!$O$3:$O$112,'Calculator +1 tier'!$C84,'Pricelist AUD'!$E$3:$E$112,$D$3),IF($A$2=7,SUMIFS('Pricelist AUD'!$M$3:$M$112,'Pricelist AUD'!$O$3:$O$112,'Calculator +1 tier'!$C84,'Pricelist AUD'!$E$3:$E$112,$D$3),IF($A$2=8,SUMIFS('Pricelist AUD'!$N$3:$N$112,'Pricelist AUD'!$O$3:$O$112,'Calculator +1 tier'!$C84,'Pricelist AUD'!$E$3:$E$112,$D$3),"")))))))),"")</f>
        <v/>
      </c>
      <c r="F84" s="628" t="str">
        <f>IFERROR(D84*E84,"")</f>
        <v/>
      </c>
    </row>
    <row r="85" spans="1:6" ht="13.5" customHeight="1">
      <c r="A85" s="804"/>
      <c r="B85" s="808"/>
      <c r="C85" s="17" t="s">
        <v>114</v>
      </c>
      <c r="D85" s="36">
        <f>'Service-based'!E58</f>
        <v>0</v>
      </c>
      <c r="E85" s="626" t="str">
        <f>IF(D85&gt;0,IF($A$2=1,SUMIFS('Pricelist AUD'!$G$3:$G$112,'Pricelist AUD'!$O$3:$O$112,'Calculator +1 tier'!$C85),IF($A$2=2,SUMIFS('Pricelist AUD'!$H$3:$H$112,'Pricelist AUD'!$O$3:$O$112,'Calculator +1 tier'!$C85),IF($A$2=3,SUMIFS('Pricelist AUD'!$I$3:$I$112,'Pricelist AUD'!$O$3:$O$112,'Calculator +1 tier'!$C85),IF($A$2=4,SUMIFS('Pricelist AUD'!$J$3:$J$112,'Pricelist AUD'!$O$3:$O$112,'Calculator +1 tier'!$C85),IF($A$2=5,SUMIFS('Pricelist AUD'!$K$3:$K$112,'Pricelist AUD'!$O$3:$O$112,'Calculator +1 tier'!$C85),IF($A$2=6,SUMIFS('Pricelist AUD'!$L$3:$L$112,'Pricelist AUD'!$O$3:$O$112,'Calculator +1 tier'!$C85),IF($A$2=7,SUMIFS('Pricelist AUD'!$M$3:$M$112,'Pricelist AUD'!$O$3:$O$112,'Calculator +1 tier'!$C85),IF($A$2=8,SUMIFS('Pricelist AUD'!$N$3:$N$112,'Pricelist AUD'!$O$3:$O$112,'Calculator +1 tier'!$C85),"")))))))),"")</f>
        <v/>
      </c>
      <c r="F85" s="645" t="str">
        <f>IFERROR(D85*E85,"")</f>
        <v/>
      </c>
    </row>
    <row r="86" spans="1:6" ht="14.45" customHeight="1">
      <c r="A86" s="804"/>
      <c r="B86" s="809" t="s">
        <v>115</v>
      </c>
      <c r="C86" s="11" t="s">
        <v>116</v>
      </c>
      <c r="D86" s="34">
        <f>'Service-based'!E59</f>
        <v>0</v>
      </c>
      <c r="E86" s="626" t="str">
        <f>IF(D86&gt;0,IF($A$2=1,SUMIFS('Pricelist AUD'!$G$3:$G$112,'Pricelist AUD'!$O$3:$O$112,'Calculator +1 tier'!$C86),IF($A$2=2,SUMIFS('Pricelist AUD'!$H$3:$H$112,'Pricelist AUD'!$O$3:$O$112,'Calculator +1 tier'!$C86),IF($A$2=3,SUMIFS('Pricelist AUD'!$I$3:$I$112,'Pricelist AUD'!$O$3:$O$112,'Calculator +1 tier'!$C86),IF($A$2=4,SUMIFS('Pricelist AUD'!$J$3:$J$112,'Pricelist AUD'!$O$3:$O$112,'Calculator +1 tier'!$C86),IF($A$2=5,SUMIFS('Pricelist AUD'!$K$3:$K$112,'Pricelist AUD'!$O$3:$O$112,'Calculator +1 tier'!$C86),IF($A$2=6,SUMIFS('Pricelist AUD'!$L$3:$L$112,'Pricelist AUD'!$O$3:$O$112,'Calculator +1 tier'!$C86),IF($A$2=7,SUMIFS('Pricelist AUD'!$M$3:$M$112,'Pricelist AUD'!$O$3:$O$112,'Calculator +1 tier'!$C86),IF($A$2=8,SUMIFS('Pricelist AUD'!$N$3:$N$112,'Pricelist AUD'!$O$3:$O$112,'Calculator +1 tier'!$C86),"")))))))),"")</f>
        <v/>
      </c>
      <c r="F86" s="628" t="str">
        <f>IFERROR(D86*E86,"")</f>
        <v/>
      </c>
    </row>
    <row r="87" spans="1:6" ht="15" customHeight="1">
      <c r="A87" s="804"/>
      <c r="B87" s="810"/>
      <c r="C87" s="17" t="s">
        <v>117</v>
      </c>
      <c r="D87" s="36">
        <f>'Service-based'!E60</f>
        <v>0</v>
      </c>
      <c r="E87" s="626" t="str">
        <f>IF(D87&gt;0,IF($A$2=1,SUMIFS('Pricelist AUD'!$G$3:$G$112,'Pricelist AUD'!$O$3:$O$112,'Calculator +1 tier'!$C87,'Pricelist AUD'!$E$3:$E$112,$D$3),IF($A$2=2,SUMIFS('Pricelist AUD'!$H$3:$H$112,'Pricelist AUD'!$O$3:$O$112,'Calculator +1 tier'!$C87,'Pricelist AUD'!$E$3:$E$112,$D$3),IF($A$2=3,SUMIFS('Pricelist AUD'!$I$3:$I$112,'Pricelist AUD'!$O$3:$O$112,'Calculator +1 tier'!$C87,'Pricelist AUD'!$E$3:$E$112,$D$3),IF($A$2=4,SUMIFS('Pricelist AUD'!$J$3:$J$112,'Pricelist AUD'!$O$3:$O$112,'Calculator +1 tier'!$C87,'Pricelist AUD'!$E$3:$E$112,$D$3),IF($A$2=5,SUMIFS('Pricelist AUD'!$K$3:$K$112,'Pricelist AUD'!$O$3:$O$112,'Calculator +1 tier'!$C87,'Pricelist AUD'!$E$3:$E$112,$D$3),IF($A$2=6,SUMIFS('Pricelist AUD'!$L$3:$L$112,'Pricelist AUD'!$O$3:$O$112,'Calculator +1 tier'!$C87,'Pricelist AUD'!$E$3:$E$112,$D$3),IF($A$2=7,SUMIFS('Pricelist AUD'!$M$3:$M$112,'Pricelist AUD'!$O$3:$O$112,'Calculator +1 tier'!$C87,'Pricelist AUD'!$E$3:$E$112,$D$3),IF($A$2=8,SUMIFS('Pricelist AUD'!$N$3:$N$112,'Pricelist AUD'!$O$3:$O$112,'Calculator +1 tier'!$C87,'Pricelist AUD'!$E$3:$E$112,$D$3),"")))))))),"")</f>
        <v/>
      </c>
      <c r="F87" s="645" t="str">
        <f>IFERROR(D87*E87,"")</f>
        <v/>
      </c>
    </row>
    <row r="88" spans="1:6" s="5" customFormat="1" ht="20.45" customHeight="1">
      <c r="A88" s="804" t="s">
        <v>123</v>
      </c>
      <c r="B88" s="805" t="s">
        <v>182</v>
      </c>
      <c r="C88" s="806"/>
      <c r="D88" s="37"/>
      <c r="E88" s="646"/>
      <c r="F88" s="631"/>
    </row>
    <row r="89" spans="1:6" s="5" customFormat="1" ht="20.45" customHeight="1">
      <c r="A89" s="804"/>
      <c r="B89" s="58" t="s">
        <v>78</v>
      </c>
      <c r="C89" s="10" t="s">
        <v>124</v>
      </c>
      <c r="D89" s="38">
        <f>'Service-based'!E64</f>
        <v>0</v>
      </c>
      <c r="E89" s="626" t="str">
        <f>IF(D89&gt;0,IF($A$2=1,SUMIFS('Pricelist AUD'!$G$3:$G$112,'Pricelist AUD'!$O$3:$O$112,'Calculator +1 tier'!$C89),IF($A$2=2,SUMIFS('Pricelist AUD'!$H$3:$H$112,'Pricelist AUD'!$O$3:$O$112,'Calculator +1 tier'!$C89),IF($A$2=3,SUMIFS('Pricelist AUD'!$I$3:$I$112,'Pricelist AUD'!$O$3:$O$112,'Calculator +1 tier'!$C89),IF($A$2=4,SUMIFS('Pricelist AUD'!$J$3:$J$112,'Pricelist AUD'!$O$3:$O$112,'Calculator +1 tier'!$C89),IF($A$2=5,SUMIFS('Pricelist AUD'!$K$3:$K$112,'Pricelist AUD'!$O$3:$O$112,'Calculator +1 tier'!$C89),IF($A$2=6,SUMIFS('Pricelist AUD'!$L$3:$L$112,'Pricelist AUD'!$O$3:$O$112,'Calculator +1 tier'!$C89),IF($A$2=7,SUMIFS('Pricelist AUD'!$M$3:$M$112,'Pricelist AUD'!$O$3:$O$112,'Calculator +1 tier'!$C89),IF($A$2=8,SUMIFS('Pricelist AUD'!$N$3:$N$112,'Pricelist AUD'!$O$3:$O$112,'Calculator +1 tier'!$C89),"")))))))),"")</f>
        <v/>
      </c>
      <c r="F89" s="633" t="str">
        <f>IFERROR(D89*E89,"")</f>
        <v/>
      </c>
    </row>
    <row r="90" spans="1:6" ht="15.6">
      <c r="A90" s="41"/>
      <c r="B90" s="20"/>
      <c r="C90" s="18"/>
      <c r="D90" s="204" t="s">
        <v>183</v>
      </c>
      <c r="E90" s="361"/>
      <c r="F90" s="591">
        <f>SUM(F5:F89)</f>
        <v>0</v>
      </c>
    </row>
    <row r="91" spans="1:6" ht="15.6">
      <c r="A91" s="8"/>
      <c r="B91" s="8"/>
      <c r="C91" s="8"/>
      <c r="D91" s="39" t="s">
        <v>42</v>
      </c>
      <c r="E91" s="118"/>
      <c r="F91" s="592">
        <f>IF(F90&gt;D2,F90,D2)</f>
        <v>0</v>
      </c>
    </row>
    <row r="92" spans="1:6" ht="15.6">
      <c r="A92" s="8"/>
      <c r="B92" s="8"/>
      <c r="C92" s="8"/>
      <c r="D92" s="39" t="s">
        <v>43</v>
      </c>
      <c r="E92" s="118"/>
      <c r="F92" s="592">
        <f>F91*12</f>
        <v>0</v>
      </c>
    </row>
  </sheetData>
  <mergeCells count="30">
    <mergeCell ref="E2:F2"/>
    <mergeCell ref="B55:B57"/>
    <mergeCell ref="A29:A57"/>
    <mergeCell ref="B2:C2"/>
    <mergeCell ref="B4:C4"/>
    <mergeCell ref="B29:B42"/>
    <mergeCell ref="B46:C46"/>
    <mergeCell ref="B47:B50"/>
    <mergeCell ref="B3:C3"/>
    <mergeCell ref="A5:A28"/>
    <mergeCell ref="B5:B7"/>
    <mergeCell ref="B8:B14"/>
    <mergeCell ref="B15:B19"/>
    <mergeCell ref="B20:B21"/>
    <mergeCell ref="B24:B26"/>
    <mergeCell ref="B58:C58"/>
    <mergeCell ref="B76:B80"/>
    <mergeCell ref="B59:B64"/>
    <mergeCell ref="B27:B28"/>
    <mergeCell ref="E3:F3"/>
    <mergeCell ref="A59:A82"/>
    <mergeCell ref="B67:B70"/>
    <mergeCell ref="B81:B82"/>
    <mergeCell ref="A88:A89"/>
    <mergeCell ref="B88:C88"/>
    <mergeCell ref="A83:A87"/>
    <mergeCell ref="B83:C83"/>
    <mergeCell ref="B84:B85"/>
    <mergeCell ref="B86:B87"/>
    <mergeCell ref="B71:B72"/>
  </mergeCells>
  <conditionalFormatting sqref="F91:F92">
    <cfRule type="expression" dxfId="3" priority="2">
      <formula>AND(#REF!&lt;#REF!,(SUM(#REF!)*#REF!&gt;0))</formula>
    </cfRule>
  </conditionalFormatting>
  <conditionalFormatting sqref="E91:E92">
    <cfRule type="expression" dxfId="2" priority="1">
      <formula>AND(#REF!&lt;#REF!,(SUM(#REF!)*#REF!&gt;0))</formula>
    </cfRule>
  </conditionalFormatting>
  <dataValidations count="10">
    <dataValidation allowBlank="1" showInputMessage="1" showErrorMessage="1" promptTitle="Service Provider Hosted Storage" prompt="Storage hosted on Service Provider Datacenter or Public Cloud managed by Service Provider (Azure, AWS, etc.)" sqref="C85 C49" xr:uid="{9CB3AF04-AC48-4A3E-A513-1DF14CDB3AF6}"/>
    <dataValidation allowBlank="1" showInputMessage="1" showErrorMessage="1" promptTitle="&gt;&gt;&gt;&gt;&gt;Customer Local Storage&lt;&lt;&lt;&lt;&lt;" prompt="Any storage that is local to the customer and that will be used for backups: Removable drives, Network Shares, Internal disks, etc." sqref="C50:C54" xr:uid="{A3FC44D3-1788-4D74-B506-53F290B16A62}"/>
    <dataValidation allowBlank="1" showInputMessage="1" showErrorMessage="1" promptTitle="&gt;&gt;&gt;&gt;&gt;Compute Points&lt;&lt;&lt;&lt;&lt;" sqref="C78:C79" xr:uid="{9B3F3D1B-2E6E-47F4-95C2-6F7472D9F1CD}"/>
    <dataValidation allowBlank="1" showInputMessage="1" showErrorMessage="1" promptTitle="&gt;&gt;&gt;&gt;&gt;Public IPs&lt;&lt;&lt;&lt;&lt;" prompt="Public IPs are optional. Only required for public facing services, i.e. Mail Server or Web Portal. 1 IP is assigned to 1 server and is reserved for that server." sqref="C80:C82" xr:uid="{0C12AD5D-7356-4117-BC08-FD258ED0B237}"/>
    <dataValidation allowBlank="1" showErrorMessage="1" sqref="D87:D89" xr:uid="{00000000-0002-0000-0100-000005000000}"/>
    <dataValidation allowBlank="1" showErrorMessage="1" promptTitle="Service Provider Hosted Storage" sqref="C89" xr:uid="{4E713A13-AF02-4C37-9F19-61D579491712}"/>
    <dataValidation allowBlank="1" showInputMessage="1" showErrorMessage="1" promptTitle="&gt;&gt;&gt;&gt;&gt;Acronis Hosted Storage&lt;&lt;&lt;&lt;&lt;" prompt="At Acronis Datacenter" sqref="C84" xr:uid="{066C181D-DE7D-4FD5-AAB3-8A7A15BC2DCA}"/>
    <dataValidation allowBlank="1" showErrorMessage="1" prompt="At Acronis Datacenter and/or Azure/Google storage managed by Acronis " sqref="C86" xr:uid="{5C2589D3-670B-4CF0-9D94-81DBF832D7DB}"/>
    <dataValidation allowBlank="1" showErrorMessage="1" promptTitle="Service Provider Hosted Storage" prompt="Storage hosted on Service Provider Datacenter or Public Cloud managed by Service Provider (Azure, AWS, etc.)" sqref="C86:C87" xr:uid="{08615E91-F900-4E7B-B5F6-DABC8A5F4329}"/>
    <dataValidation allowBlank="1" showInputMessage="1" showErrorMessage="1" promptTitle="Azure/Google Cloud storage" prompt="Cloud Azure/Google storage managed by Acronis at selected locations" sqref="C42:C45 C48" xr:uid="{F2EC249E-0BD7-4F57-A447-CE34E65DD0DE}"/>
  </dataValidations>
  <hyperlinks>
    <hyperlink ref="B3:C3" location="'DCs by groups'!A1" display="2. Choose Datacenter Group: " xr:uid="{B51682DE-9A4B-449A-86E6-C079C26FD0CD}"/>
    <hyperlink ref="C78" location="'Compute Points'!A1" display="Monthly Compute Point Consumption" xr:uid="{3C85F7C8-912D-4865-8D46-43EB3396F4CD}"/>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83CF549-CFF5-49ED-B0FE-B9D0D3A2FF16}">
          <x14:formula1>
            <xm:f>'Cloud DCs'!$G$2:$G$4</xm:f>
          </x14:formula1>
          <xm:sqref>D3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F92"/>
  <sheetViews>
    <sheetView zoomScale="60" zoomScaleNormal="60" workbookViewId="0">
      <selection activeCell="D2" sqref="D2"/>
    </sheetView>
  </sheetViews>
  <sheetFormatPr defaultColWidth="8.85546875" defaultRowHeight="14.45"/>
  <cols>
    <col min="1" max="1" width="19.42578125" customWidth="1"/>
    <col min="2" max="2" width="31.42578125" bestFit="1" customWidth="1"/>
    <col min="3" max="3" width="79.140625" bestFit="1" customWidth="1"/>
    <col min="4" max="4" width="23.5703125" customWidth="1"/>
    <col min="5" max="5" width="20.85546875" bestFit="1" customWidth="1"/>
    <col min="6" max="6" width="25.5703125" customWidth="1"/>
  </cols>
  <sheetData>
    <row r="2" spans="1:6" ht="20.100000000000001" customHeight="1">
      <c r="A2" s="344">
        <f>'Solution-based'!D3+1</f>
        <v>2</v>
      </c>
      <c r="B2" s="819" t="s">
        <v>1</v>
      </c>
      <c r="C2" s="820"/>
      <c r="D2" s="649">
        <f>HLOOKUP(A2,'Pricelist AUD'!F118:N119,2,0)</f>
        <v>700</v>
      </c>
      <c r="E2" s="815"/>
      <c r="F2" s="815"/>
    </row>
    <row r="3" spans="1:6" ht="20.100000000000001" customHeight="1">
      <c r="A3" s="22"/>
      <c r="B3" s="825" t="s">
        <v>152</v>
      </c>
      <c r="C3" s="826"/>
      <c r="D3" s="54" t="str">
        <f>'Service-based'!E4</f>
        <v>G1</v>
      </c>
      <c r="E3" s="813"/>
      <c r="F3" s="814"/>
    </row>
    <row r="4" spans="1:6" ht="27.95">
      <c r="A4" s="19"/>
      <c r="B4" s="821" t="s">
        <v>153</v>
      </c>
      <c r="C4" s="822"/>
      <c r="D4" s="13" t="s">
        <v>6</v>
      </c>
      <c r="E4" s="13" t="s">
        <v>7</v>
      </c>
      <c r="F4" s="14" t="s">
        <v>154</v>
      </c>
    </row>
    <row r="5" spans="1:6" ht="17.45" customHeight="1">
      <c r="A5" s="827" t="s">
        <v>155</v>
      </c>
      <c r="B5" s="830" t="s">
        <v>156</v>
      </c>
      <c r="C5" s="57" t="str">
        <f>'Solution-based'!C6</f>
        <v># Endpoint Security (Servers, VMs, Workstations)</v>
      </c>
      <c r="D5" s="156">
        <f>'Solution-based'!E6</f>
        <v>0</v>
      </c>
      <c r="E5" s="626" t="str">
        <f>IF(D5&gt;0,IF($A$2=1,SUMIFS('Pricelist AUD'!$G$3:$G$112,'Pricelist AUD'!$O$3:$O$112,'Calculator +1 tier'!$C5),IF($A$2=2,SUMIFS('Pricelist AUD'!$H$3:$H$112,'Pricelist AUD'!$O$3:$O$112,'Calculator +1 tier'!$C5),IF($A$2=3,SUMIFS('Pricelist AUD'!$I$3:$I$112,'Pricelist AUD'!$O$3:$O$112,'Calculator +1 tier'!$C5),IF($A$2=4,SUMIFS('Pricelist AUD'!$J$3:$J$112,'Pricelist AUD'!$O$3:$O$112,'Calculator +1 tier'!$C5),IF($A$2=5,SUMIFS('Pricelist AUD'!$K$3:$K$112,'Pricelist AUD'!$O$3:$O$112,'Calculator +1 tier'!$C5),IF($A$2=6,SUMIFS('Pricelist AUD'!$L$3:$L$112,'Pricelist AUD'!$O$3:$O$112,'Calculator +1 tier'!$C5),IF($A$2=7,SUMIFS('Pricelist AUD'!$M$3:$M$112,'Pricelist AUD'!$O$3:$O$112,'Calculator +1 tier'!$C5),IF($A$2=8,SUMIFS('Pricelist AUD'!$N$3:$N$112,'Pricelist AUD'!$O$3:$O$112,'Calculator +1 tier'!$C5),"")))))))),"")</f>
        <v/>
      </c>
      <c r="F5" s="627" t="str">
        <f t="shared" ref="F5:F29" si="0">IFERROR(D5*E5,"")</f>
        <v/>
      </c>
    </row>
    <row r="6" spans="1:6" ht="17.45" customHeight="1">
      <c r="A6" s="828"/>
      <c r="B6" s="800"/>
      <c r="C6" s="161" t="str">
        <f>'Solution-based'!C7</f>
        <v># Microsoft 365 Security</v>
      </c>
      <c r="D6" s="155">
        <f>'Solution-based'!E7</f>
        <v>0</v>
      </c>
      <c r="E6" s="626" t="str">
        <f>IF(D6&gt;0,IF($A$2=1,SUMIFS('Pricelist AUD'!$G$3:$G$112,'Pricelist AUD'!$O$3:$O$112,'Calculator +1 tier'!$C6),IF($A$2=2,SUMIFS('Pricelist AUD'!$H$3:$H$112,'Pricelist AUD'!$O$3:$O$112,'Calculator +1 tier'!$C6),IF($A$2=3,SUMIFS('Pricelist AUD'!$I$3:$I$112,'Pricelist AUD'!$O$3:$O$112,'Calculator +1 tier'!$C6),IF($A$2=4,SUMIFS('Pricelist AUD'!$J$3:$J$112,'Pricelist AUD'!$O$3:$O$112,'Calculator +1 tier'!$C6),IF($A$2=5,SUMIFS('Pricelist AUD'!$K$3:$K$112,'Pricelist AUD'!$O$3:$O$112,'Calculator +1 tier'!$C6),IF($A$2=6,SUMIFS('Pricelist AUD'!$L$3:$L$112,'Pricelist AUD'!$O$3:$O$112,'Calculator +1 tier'!$C6),IF($A$2=7,SUMIFS('Pricelist AUD'!$M$3:$M$112,'Pricelist AUD'!$O$3:$O$112,'Calculator +1 tier'!$C6),IF($A$2=8,SUMIFS('Pricelist AUD'!$N$3:$N$112,'Pricelist AUD'!$O$3:$O$112,'Calculator +1 tier'!$C6),"")))))))),"")</f>
        <v/>
      </c>
      <c r="F6" s="628" t="str">
        <f t="shared" si="0"/>
        <v/>
      </c>
    </row>
    <row r="7" spans="1:6" ht="17.45" customHeight="1">
      <c r="A7" s="828"/>
      <c r="B7" s="800"/>
      <c r="C7" s="57" t="str">
        <f>'Solution-based'!C8</f>
        <v># Google Workspace Security</v>
      </c>
      <c r="D7" s="156">
        <f>'Solution-based'!E8</f>
        <v>0</v>
      </c>
      <c r="E7" s="626" t="str">
        <f>IF(D7&gt;0,IF($A$2=1,SUMIFS('Pricelist AUD'!$G$3:$G$112,'Pricelist AUD'!$O$3:$O$112,'Calculator +1 tier'!$C7),IF($A$2=2,SUMIFS('Pricelist AUD'!$H$3:$H$112,'Pricelist AUD'!$O$3:$O$112,'Calculator +1 tier'!$C7),IF($A$2=3,SUMIFS('Pricelist AUD'!$I$3:$I$112,'Pricelist AUD'!$O$3:$O$112,'Calculator +1 tier'!$C7),IF($A$2=4,SUMIFS('Pricelist AUD'!$J$3:$J$112,'Pricelist AUD'!$O$3:$O$112,'Calculator +1 tier'!$C7),IF($A$2=5,SUMIFS('Pricelist AUD'!$K$3:$K$112,'Pricelist AUD'!$O$3:$O$112,'Calculator +1 tier'!$C7),IF($A$2=6,SUMIFS('Pricelist AUD'!$L$3:$L$112,'Pricelist AUD'!$O$3:$O$112,'Calculator +1 tier'!$C7),IF($A$2=7,SUMIFS('Pricelist AUD'!$M$3:$M$112,'Pricelist AUD'!$O$3:$O$112,'Calculator +1 tier'!$C7),IF($A$2=8,SUMIFS('Pricelist AUD'!$N$3:$N$112,'Pricelist AUD'!$O$3:$O$112,'Calculator +1 tier'!$C7),"")))))))),"")</f>
        <v/>
      </c>
      <c r="F7" s="627" t="str">
        <f t="shared" si="0"/>
        <v/>
      </c>
    </row>
    <row r="8" spans="1:6" ht="17.45" customHeight="1">
      <c r="A8" s="828"/>
      <c r="B8" s="800" t="s">
        <v>157</v>
      </c>
      <c r="C8" s="161" t="str">
        <f>'Solution-based'!C9</f>
        <v># BDR Server (3 TB of Acronis Hosted Storage included)</v>
      </c>
      <c r="D8" s="155">
        <f>'Solution-based'!E9</f>
        <v>0</v>
      </c>
      <c r="E8" s="626" t="str">
        <f>IF(D8&gt;0,IF($A$2=1,SUMIFS('Pricelist AUD'!$G$3:$G$112,'Pricelist AUD'!$O$3:$O$112,'Calculator +1 tier'!$C8,'Pricelist AUD'!$E$3:$E$112,$D$3),IF($A$2=2,SUMIFS('Pricelist AUD'!$H$3:$H$112,'Pricelist AUD'!$O$3:$O$112,'Calculator +1 tier'!$C8,'Pricelist AUD'!$E$3:$E$112,$D$3),IF($A$2=3,SUMIFS('Pricelist AUD'!$I$3:$I$112,'Pricelist AUD'!$O$3:$O$112,'Calculator +1 tier'!$C8,'Pricelist AUD'!$E$3:$E$112,$D$3),IF($A$2=4,SUMIFS('Pricelist AUD'!$J$3:$J$112,'Pricelist AUD'!$O$3:$O$112,'Calculator +1 tier'!$C8,'Pricelist AUD'!$E$3:$E$112,$D$3),IF($A$2=5,SUMIFS('Pricelist AUD'!$K$3:$K$112,'Pricelist AUD'!$O$3:$O$112,'Calculator +1 tier'!$C8,'Pricelist AUD'!$E$3:$E$112,$D$3),IF($A$2=6,SUMIFS('Pricelist AUD'!$L$3:$L$112,'Pricelist AUD'!$O$3:$O$112,'Calculator +1 tier'!$C8,'Pricelist AUD'!$E$3:$E$112,$D$3),IF($A$2=7,SUMIFS('Pricelist AUD'!$M$3:$M$112,'Pricelist AUD'!$O$3:$O$112,'Calculator +1 tier'!$C8,'Pricelist AUD'!$E$3:$E$112,$D$3),IF($A$2=8,SUMIFS('Pricelist AUD'!$N$3:$N$112,'Pricelist AUD'!$O$3:$O$112,'Calculator +1 tier'!$C8,'Pricelist AUD'!$E$3:$E$112,$D$3),"")))))))),"")</f>
        <v/>
      </c>
      <c r="F8" s="628" t="str">
        <f t="shared" si="0"/>
        <v/>
      </c>
    </row>
    <row r="9" spans="1:6" ht="17.45" customHeight="1">
      <c r="A9" s="828"/>
      <c r="B9" s="800"/>
      <c r="C9" s="57" t="str">
        <f>'Solution-based'!C10</f>
        <v># BDR Virtual Machine (2 TB of Acronis Hosted Storage included)</v>
      </c>
      <c r="D9" s="156">
        <f>'Solution-based'!E10</f>
        <v>0</v>
      </c>
      <c r="E9" s="626" t="str">
        <f>IF(D9&gt;0,IF($A$2=1,SUMIFS('Pricelist AUD'!$G$3:$G$112,'Pricelist AUD'!$O$3:$O$112,'Calculator +1 tier'!$C9,'Pricelist AUD'!$E$3:$E$112,$D$3),IF($A$2=2,SUMIFS('Pricelist AUD'!$H$3:$H$112,'Pricelist AUD'!$O$3:$O$112,'Calculator +1 tier'!$C9,'Pricelist AUD'!$E$3:$E$112,$D$3),IF($A$2=3,SUMIFS('Pricelist AUD'!$I$3:$I$112,'Pricelist AUD'!$O$3:$O$112,'Calculator +1 tier'!$C9,'Pricelist AUD'!$E$3:$E$112,$D$3),IF($A$2=4,SUMIFS('Pricelist AUD'!$J$3:$J$112,'Pricelist AUD'!$O$3:$O$112,'Calculator +1 tier'!$C9,'Pricelist AUD'!$E$3:$E$112,$D$3),IF($A$2=5,SUMIFS('Pricelist AUD'!$K$3:$K$112,'Pricelist AUD'!$O$3:$O$112,'Calculator +1 tier'!$C9,'Pricelist AUD'!$E$3:$E$112,$D$3),IF($A$2=6,SUMIFS('Pricelist AUD'!$L$3:$L$112,'Pricelist AUD'!$O$3:$O$112,'Calculator +1 tier'!$C9,'Pricelist AUD'!$E$3:$E$112,$D$3),IF($A$2=7,SUMIFS('Pricelist AUD'!$M$3:$M$112,'Pricelist AUD'!$O$3:$O$112,'Calculator +1 tier'!$C9,'Pricelist AUD'!$E$3:$E$112,$D$3),IF($A$2=8,SUMIFS('Pricelist AUD'!$N$3:$N$112,'Pricelist AUD'!$O$3:$O$112,'Calculator +1 tier'!$C9,'Pricelist AUD'!$E$3:$E$112,$D$3),"")))))))),"")</f>
        <v/>
      </c>
      <c r="F9" s="628" t="str">
        <f t="shared" si="0"/>
        <v/>
      </c>
    </row>
    <row r="10" spans="1:6" ht="17.45" customHeight="1">
      <c r="A10" s="828"/>
      <c r="B10" s="800"/>
      <c r="C10" s="161" t="str">
        <f>'Solution-based'!C11</f>
        <v># BDR Workstation (300 GB of Acronis Hosted Storage included)</v>
      </c>
      <c r="D10" s="155">
        <f>'Solution-based'!E11</f>
        <v>0</v>
      </c>
      <c r="E10" s="626" t="str">
        <f>IF(D10&gt;0,IF($A$2=1,SUMIFS('Pricelist AUD'!$G$3:$G$112,'Pricelist AUD'!$O$3:$O$112,'Calculator +1 tier'!$C10,'Pricelist AUD'!$E$3:$E$112,$D$3),IF($A$2=2,SUMIFS('Pricelist AUD'!$H$3:$H$112,'Pricelist AUD'!$O$3:$O$112,'Calculator +1 tier'!$C10,'Pricelist AUD'!$E$3:$E$112,$D$3),IF($A$2=3,SUMIFS('Pricelist AUD'!$I$3:$I$112,'Pricelist AUD'!$O$3:$O$112,'Calculator +1 tier'!$C10,'Pricelist AUD'!$E$3:$E$112,$D$3),IF($A$2=4,SUMIFS('Pricelist AUD'!$J$3:$J$112,'Pricelist AUD'!$O$3:$O$112,'Calculator +1 tier'!$C10,'Pricelist AUD'!$E$3:$E$112,$D$3),IF($A$2=5,SUMIFS('Pricelist AUD'!$K$3:$K$112,'Pricelist AUD'!$O$3:$O$112,'Calculator +1 tier'!$C10,'Pricelist AUD'!$E$3:$E$112,$D$3),IF($A$2=6,SUMIFS('Pricelist AUD'!$L$3:$L$112,'Pricelist AUD'!$O$3:$O$112,'Calculator +1 tier'!$C10,'Pricelist AUD'!$E$3:$E$112,$D$3),IF($A$2=7,SUMIFS('Pricelist AUD'!$M$3:$M$112,'Pricelist AUD'!$O$3:$O$112,'Calculator +1 tier'!$C10,'Pricelist AUD'!$E$3:$E$112,$D$3),IF($A$2=8,SUMIFS('Pricelist AUD'!$N$3:$N$112,'Pricelist AUD'!$O$3:$O$112,'Calculator +1 tier'!$C10,'Pricelist AUD'!$E$3:$E$112,$D$3),"")))))))),"")</f>
        <v/>
      </c>
      <c r="F10" s="627" t="str">
        <f t="shared" si="0"/>
        <v/>
      </c>
    </row>
    <row r="11" spans="1:6" ht="17.45" customHeight="1">
      <c r="A11" s="828"/>
      <c r="B11" s="800"/>
      <c r="C11" s="162" t="str">
        <f>'Solution-based'!C12</f>
        <v># Microsoft 365 Backup + Archiving (unlimited Acronis Hosted Cloud Storage included*)</v>
      </c>
      <c r="D11" s="156">
        <f>'Solution-based'!E12</f>
        <v>0</v>
      </c>
      <c r="E11" s="626" t="str">
        <f>IF(D11&gt;0,IF($A$2=1,SUMIFS('Pricelist AUD'!$G$3:$G$112,'Pricelist AUD'!$O$3:$O$112,'Calculator +1 tier'!$C11,'Pricelist AUD'!$E$3:$E$112,$D$3),IF($A$2=2,SUMIFS('Pricelist AUD'!$H$3:$H$112,'Pricelist AUD'!$O$3:$O$112,'Calculator +1 tier'!$C11,'Pricelist AUD'!$E$3:$E$112,$D$3),IF($A$2=3,SUMIFS('Pricelist AUD'!$I$3:$I$112,'Pricelist AUD'!$O$3:$O$112,'Calculator +1 tier'!$C11,'Pricelist AUD'!$E$3:$E$112,$D$3),IF($A$2=4,SUMIFS('Pricelist AUD'!$J$3:$J$112,'Pricelist AUD'!$O$3:$O$112,'Calculator +1 tier'!$C11,'Pricelist AUD'!$E$3:$E$112,$D$3),IF($A$2=5,SUMIFS('Pricelist AUD'!$K$3:$K$112,'Pricelist AUD'!$O$3:$O$112,'Calculator +1 tier'!$C11,'Pricelist AUD'!$E$3:$E$112,$D$3),IF($A$2=6,SUMIFS('Pricelist AUD'!$L$3:$L$112,'Pricelist AUD'!$O$3:$O$112,'Calculator +1 tier'!$C11,'Pricelist AUD'!$E$3:$E$112,$D$3),IF($A$2=7,SUMIFS('Pricelist AUD'!$M$3:$M$112,'Pricelist AUD'!$O$3:$O$112,'Calculator +1 tier'!$C11,'Pricelist AUD'!$E$3:$E$112,$D$3),IF($A$2=8,SUMIFS('Pricelist AUD'!$N$3:$N$112,'Pricelist AUD'!$O$3:$O$112,'Calculator +1 tier'!$C11,'Pricelist AUD'!$E$3:$E$112,$D$3),"")))))))),"")</f>
        <v/>
      </c>
      <c r="F11" s="628" t="str">
        <f t="shared" si="0"/>
        <v/>
      </c>
    </row>
    <row r="12" spans="1:6" ht="17.45" customHeight="1">
      <c r="A12" s="828"/>
      <c r="B12" s="800"/>
      <c r="C12" s="161" t="str">
        <f>'Solution-based'!C13</f>
        <v># Google Workspace Backup (unlimited Acronis Hosted Cloud Storage included*)</v>
      </c>
      <c r="D12" s="155">
        <f>'Solution-based'!E13</f>
        <v>0</v>
      </c>
      <c r="E12" s="626" t="str">
        <f>IF(D12&gt;0,IF($A$2=1,SUMIFS('Pricelist AUD'!$G$3:$G$112,'Pricelist AUD'!$O$3:$O$112,'Calculator +1 tier'!$C12,'Pricelist AUD'!$E$3:$E$112,$D$3),IF($A$2=2,SUMIFS('Pricelist AUD'!$H$3:$H$112,'Pricelist AUD'!$O$3:$O$112,'Calculator +1 tier'!$C12,'Pricelist AUD'!$E$3:$E$112,$D$3),IF($A$2=3,SUMIFS('Pricelist AUD'!$I$3:$I$112,'Pricelist AUD'!$O$3:$O$112,'Calculator +1 tier'!$C12,'Pricelist AUD'!$E$3:$E$112,$D$3),IF($A$2=4,SUMIFS('Pricelist AUD'!$J$3:$J$112,'Pricelist AUD'!$O$3:$O$112,'Calculator +1 tier'!$C12,'Pricelist AUD'!$E$3:$E$112,$D$3),IF($A$2=5,SUMIFS('Pricelist AUD'!$K$3:$K$112,'Pricelist AUD'!$O$3:$O$112,'Calculator +1 tier'!$C12,'Pricelist AUD'!$E$3:$E$112,$D$3),IF($A$2=6,SUMIFS('Pricelist AUD'!$L$3:$L$112,'Pricelist AUD'!$O$3:$O$112,'Calculator +1 tier'!$C12,'Pricelist AUD'!$E$3:$E$112,$D$3),IF($A$2=7,SUMIFS('Pricelist AUD'!$M$3:$M$112,'Pricelist AUD'!$O$3:$O$112,'Calculator +1 tier'!$C12,'Pricelist AUD'!$E$3:$E$112,$D$3),IF($A$2=8,SUMIFS('Pricelist AUD'!$N$3:$N$112,'Pricelist AUD'!$O$3:$O$112,'Calculator +1 tier'!$C12,'Pricelist AUD'!$E$3:$E$112,$D$3),"")))))))),"")</f>
        <v/>
      </c>
      <c r="F12" s="627" t="str">
        <f t="shared" si="0"/>
        <v/>
      </c>
    </row>
    <row r="13" spans="1:6" ht="17.45" customHeight="1">
      <c r="A13" s="828"/>
      <c r="B13" s="800"/>
      <c r="C13" s="57" t="str">
        <f>'Solution-based'!C14</f>
        <v># Website Backup (50 GB of Acronis Hosted Storage included)</v>
      </c>
      <c r="D13" s="156">
        <f>'Solution-based'!E14</f>
        <v>0</v>
      </c>
      <c r="E13" s="626" t="str">
        <f>IF(D13&gt;0,IF($A$2=1,SUMIFS('Pricelist AUD'!$G$3:$G$112,'Pricelist AUD'!$O$3:$O$112,'Calculator +1 tier'!$C13,'Pricelist AUD'!$E$3:$E$112,$D$3),IF($A$2=2,SUMIFS('Pricelist AUD'!$H$3:$H$112,'Pricelist AUD'!$O$3:$O$112,'Calculator +1 tier'!$C13,'Pricelist AUD'!$E$3:$E$112,$D$3),IF($A$2=3,SUMIFS('Pricelist AUD'!$I$3:$I$112,'Pricelist AUD'!$O$3:$O$112,'Calculator +1 tier'!$C13,'Pricelist AUD'!$E$3:$E$112,$D$3),IF($A$2=4,SUMIFS('Pricelist AUD'!$J$3:$J$112,'Pricelist AUD'!$O$3:$O$112,'Calculator +1 tier'!$C13,'Pricelist AUD'!$E$3:$E$112,$D$3),IF($A$2=5,SUMIFS('Pricelist AUD'!$K$3:$K$112,'Pricelist AUD'!$O$3:$O$112,'Calculator +1 tier'!$C13,'Pricelist AUD'!$E$3:$E$112,$D$3),IF($A$2=6,SUMIFS('Pricelist AUD'!$L$3:$L$112,'Pricelist AUD'!$O$3:$O$112,'Calculator +1 tier'!$C13,'Pricelist AUD'!$E$3:$E$112,$D$3),IF($A$2=7,SUMIFS('Pricelist AUD'!$M$3:$M$112,'Pricelist AUD'!$O$3:$O$112,'Calculator +1 tier'!$C13,'Pricelist AUD'!$E$3:$E$112,$D$3),IF($A$2=8,SUMIFS('Pricelist AUD'!$N$3:$N$112,'Pricelist AUD'!$O$3:$O$112,'Calculator +1 tier'!$C13,'Pricelist AUD'!$E$3:$E$112,$D$3),"")))))))),"")</f>
        <v/>
      </c>
      <c r="F13" s="628" t="str">
        <f t="shared" si="0"/>
        <v/>
      </c>
    </row>
    <row r="14" spans="1:6" ht="17.45" customHeight="1">
      <c r="A14" s="828"/>
      <c r="B14" s="800"/>
      <c r="C14" s="161" t="str">
        <f>'Solution-based'!C15</f>
        <v># Mobile Backup (50 GB od Acronis Hosted Storage included)</v>
      </c>
      <c r="D14" s="155">
        <f>'Solution-based'!E15</f>
        <v>0</v>
      </c>
      <c r="E14" s="626" t="str">
        <f>IF(D14&gt;0,IF($A$2=1,SUMIFS('Pricelist AUD'!$G$3:$G$112,'Pricelist AUD'!$O$3:$O$112,'Calculator +1 tier'!$C14,'Pricelist AUD'!$E$3:$E$112,$D$3),IF($A$2=2,SUMIFS('Pricelist AUD'!$H$3:$H$112,'Pricelist AUD'!$O$3:$O$112,'Calculator +1 tier'!$C14,'Pricelist AUD'!$E$3:$E$112,$D$3),IF($A$2=3,SUMIFS('Pricelist AUD'!$I$3:$I$112,'Pricelist AUD'!$O$3:$O$112,'Calculator +1 tier'!$C14,'Pricelist AUD'!$E$3:$E$112,$D$3),IF($A$2=4,SUMIFS('Pricelist AUD'!$J$3:$J$112,'Pricelist AUD'!$O$3:$O$112,'Calculator +1 tier'!$C14,'Pricelist AUD'!$E$3:$E$112,$D$3),IF($A$2=5,SUMIFS('Pricelist AUD'!$K$3:$K$112,'Pricelist AUD'!$O$3:$O$112,'Calculator +1 tier'!$C14,'Pricelist AUD'!$E$3:$E$112,$D$3),IF($A$2=6,SUMIFS('Pricelist AUD'!$L$3:$L$112,'Pricelist AUD'!$O$3:$O$112,'Calculator +1 tier'!$C14,'Pricelist AUD'!$E$3:$E$112,$D$3),IF($A$2=7,SUMIFS('Pricelist AUD'!$M$3:$M$112,'Pricelist AUD'!$O$3:$O$112,'Calculator +1 tier'!$C14,'Pricelist AUD'!$E$3:$E$112,$D$3),IF($A$2=8,SUMIFS('Pricelist AUD'!$N$3:$N$112,'Pricelist AUD'!$O$3:$O$112,'Calculator +1 tier'!$C14,'Pricelist AUD'!$E$3:$E$112,$D$3),"")))))))),"")</f>
        <v/>
      </c>
      <c r="F14" s="627" t="str">
        <f t="shared" si="0"/>
        <v/>
      </c>
    </row>
    <row r="15" spans="1:6" ht="17.45" customHeight="1">
      <c r="A15" s="828"/>
      <c r="B15" s="800" t="s">
        <v>158</v>
      </c>
      <c r="C15" s="57" t="str">
        <f>'Solution-based'!C16</f>
        <v># Ultimate Server (3 TB of Acronis Hosted Storage included)</v>
      </c>
      <c r="D15" s="156">
        <f>'Solution-based'!E16</f>
        <v>0</v>
      </c>
      <c r="E15" s="626" t="str">
        <f>IF(D15&gt;0,IF($A$2=1,SUMIFS('Pricelist AUD'!$G$3:$G$112,'Pricelist AUD'!$O$3:$O$112,'Calculator +1 tier'!$C15,'Pricelist AUD'!$E$3:$E$112,$D$3),IF($A$2=2,SUMIFS('Pricelist AUD'!$H$3:$H$112,'Pricelist AUD'!$O$3:$O$112,'Calculator +1 tier'!$C15,'Pricelist AUD'!$E$3:$E$112,$D$3),IF($A$2=3,SUMIFS('Pricelist AUD'!$I$3:$I$112,'Pricelist AUD'!$O$3:$O$112,'Calculator +1 tier'!$C15,'Pricelist AUD'!$E$3:$E$112,$D$3),IF($A$2=4,SUMIFS('Pricelist AUD'!$J$3:$J$112,'Pricelist AUD'!$O$3:$O$112,'Calculator +1 tier'!$C15,'Pricelist AUD'!$E$3:$E$112,$D$3),IF($A$2=5,SUMIFS('Pricelist AUD'!$K$3:$K$112,'Pricelist AUD'!$O$3:$O$112,'Calculator +1 tier'!$C15,'Pricelist AUD'!$E$3:$E$112,$D$3),IF($A$2=6,SUMIFS('Pricelist AUD'!$L$3:$L$112,'Pricelist AUD'!$O$3:$O$112,'Calculator +1 tier'!$C15,'Pricelist AUD'!$E$3:$E$112,$D$3),IF($A$2=7,SUMIFS('Pricelist AUD'!$M$3:$M$112,'Pricelist AUD'!$O$3:$O$112,'Calculator +1 tier'!$C15,'Pricelist AUD'!$E$3:$E$112,$D$3),IF($A$2=8,SUMIFS('Pricelist AUD'!$N$3:$N$112,'Pricelist AUD'!$O$3:$O$112,'Calculator +1 tier'!$C15,'Pricelist AUD'!$E$3:$E$112,$D$3),"")))))))),"")</f>
        <v/>
      </c>
      <c r="F15" s="628" t="str">
        <f t="shared" si="0"/>
        <v/>
      </c>
    </row>
    <row r="16" spans="1:6" ht="17.45" customHeight="1">
      <c r="A16" s="828"/>
      <c r="B16" s="800"/>
      <c r="C16" s="161" t="str">
        <f>'Solution-based'!C17</f>
        <v># Ultimate Virtual Machine (2 TB of Acronis Hosted Storage included)</v>
      </c>
      <c r="D16" s="155">
        <f>'Solution-based'!E17</f>
        <v>0</v>
      </c>
      <c r="E16" s="626" t="str">
        <f>IF(D16&gt;0,IF($A$2=1,SUMIFS('Pricelist AUD'!$G$3:$G$112,'Pricelist AUD'!$O$3:$O$112,'Calculator +1 tier'!$C16,'Pricelist AUD'!$E$3:$E$112,$D$3),IF($A$2=2,SUMIFS('Pricelist AUD'!$H$3:$H$112,'Pricelist AUD'!$O$3:$O$112,'Calculator +1 tier'!$C16,'Pricelist AUD'!$E$3:$E$112,$D$3),IF($A$2=3,SUMIFS('Pricelist AUD'!$I$3:$I$112,'Pricelist AUD'!$O$3:$O$112,'Calculator +1 tier'!$C16,'Pricelist AUD'!$E$3:$E$112,$D$3),IF($A$2=4,SUMIFS('Pricelist AUD'!$J$3:$J$112,'Pricelist AUD'!$O$3:$O$112,'Calculator +1 tier'!$C16,'Pricelist AUD'!$E$3:$E$112,$D$3),IF($A$2=5,SUMIFS('Pricelist AUD'!$K$3:$K$112,'Pricelist AUD'!$O$3:$O$112,'Calculator +1 tier'!$C16,'Pricelist AUD'!$E$3:$E$112,$D$3),IF($A$2=6,SUMIFS('Pricelist AUD'!$L$3:$L$112,'Pricelist AUD'!$O$3:$O$112,'Calculator +1 tier'!$C16,'Pricelist AUD'!$E$3:$E$112,$D$3),IF($A$2=7,SUMIFS('Pricelist AUD'!$M$3:$M$112,'Pricelist AUD'!$O$3:$O$112,'Calculator +1 tier'!$C16,'Pricelist AUD'!$E$3:$E$112,$D$3),IF($A$2=8,SUMIFS('Pricelist AUD'!$N$3:$N$112,'Pricelist AUD'!$O$3:$O$112,'Calculator +1 tier'!$C16,'Pricelist AUD'!$E$3:$E$112,$D$3),"")))))))),"")</f>
        <v/>
      </c>
      <c r="F16" s="628" t="str">
        <f t="shared" si="0"/>
        <v/>
      </c>
    </row>
    <row r="17" spans="1:6" ht="17.45" customHeight="1">
      <c r="A17" s="828"/>
      <c r="B17" s="800"/>
      <c r="C17" s="57" t="str">
        <f>'Solution-based'!C18</f>
        <v># Ultimate Workstation (300 GB of Acronis Hosted Storage included)</v>
      </c>
      <c r="D17" s="156">
        <f>'Solution-based'!E18</f>
        <v>0</v>
      </c>
      <c r="E17" s="626" t="str">
        <f>IF(D17&gt;0,IF($A$2=1,SUMIFS('Pricelist AUD'!$G$3:$G$112,'Pricelist AUD'!$O$3:$O$112,'Calculator +1 tier'!$C17,'Pricelist AUD'!$E$3:$E$112,$D$3),IF($A$2=2,SUMIFS('Pricelist AUD'!$H$3:$H$112,'Pricelist AUD'!$O$3:$O$112,'Calculator +1 tier'!$C17,'Pricelist AUD'!$E$3:$E$112,$D$3),IF($A$2=3,SUMIFS('Pricelist AUD'!$I$3:$I$112,'Pricelist AUD'!$O$3:$O$112,'Calculator +1 tier'!$C17,'Pricelist AUD'!$E$3:$E$112,$D$3),IF($A$2=4,SUMIFS('Pricelist AUD'!$J$3:$J$112,'Pricelist AUD'!$O$3:$O$112,'Calculator +1 tier'!$C17,'Pricelist AUD'!$E$3:$E$112,$D$3),IF($A$2=5,SUMIFS('Pricelist AUD'!$K$3:$K$112,'Pricelist AUD'!$O$3:$O$112,'Calculator +1 tier'!$C17,'Pricelist AUD'!$E$3:$E$112,$D$3),IF($A$2=6,SUMIFS('Pricelist AUD'!$L$3:$L$112,'Pricelist AUD'!$O$3:$O$112,'Calculator +1 tier'!$C17,'Pricelist AUD'!$E$3:$E$112,$D$3),IF($A$2=7,SUMIFS('Pricelist AUD'!$M$3:$M$112,'Pricelist AUD'!$O$3:$O$112,'Calculator +1 tier'!$C17,'Pricelist AUD'!$E$3:$E$112,$D$3),IF($A$2=8,SUMIFS('Pricelist AUD'!$N$3:$N$112,'Pricelist AUD'!$O$3:$O$112,'Calculator +1 tier'!$C17,'Pricelist AUD'!$E$3:$E$112,$D$3),"")))))))),"")</f>
        <v/>
      </c>
      <c r="F17" s="627" t="str">
        <f t="shared" si="0"/>
        <v/>
      </c>
    </row>
    <row r="18" spans="1:6" ht="17.45" customHeight="1">
      <c r="A18" s="828"/>
      <c r="B18" s="800"/>
      <c r="C18" s="161" t="str">
        <f>'Solution-based'!C19</f>
        <v># Ultimate Microsoft 365 (unlimited Acronis Hosted Cloud Storage included*)</v>
      </c>
      <c r="D18" s="155">
        <f>'Solution-based'!E19</f>
        <v>0</v>
      </c>
      <c r="E18" s="626" t="str">
        <f>IF(D18&gt;0,IF($A$2=1,SUMIFS('Pricelist AUD'!$G$3:$G$112,'Pricelist AUD'!$O$3:$O$112,'Calculator +1 tier'!$C18,'Pricelist AUD'!$E$3:$E$112,$D$3),IF($A$2=2,SUMIFS('Pricelist AUD'!$H$3:$H$112,'Pricelist AUD'!$O$3:$O$112,'Calculator +1 tier'!$C18,'Pricelist AUD'!$E$3:$E$112,$D$3),IF($A$2=3,SUMIFS('Pricelist AUD'!$I$3:$I$112,'Pricelist AUD'!$O$3:$O$112,'Calculator +1 tier'!$C18,'Pricelist AUD'!$E$3:$E$112,$D$3),IF($A$2=4,SUMIFS('Pricelist AUD'!$J$3:$J$112,'Pricelist AUD'!$O$3:$O$112,'Calculator +1 tier'!$C18,'Pricelist AUD'!$E$3:$E$112,$D$3),IF($A$2=5,SUMIFS('Pricelist AUD'!$K$3:$K$112,'Pricelist AUD'!$O$3:$O$112,'Calculator +1 tier'!$C18,'Pricelist AUD'!$E$3:$E$112,$D$3),IF($A$2=6,SUMIFS('Pricelist AUD'!$L$3:$L$112,'Pricelist AUD'!$O$3:$O$112,'Calculator +1 tier'!$C18,'Pricelist AUD'!$E$3:$E$112,$D$3),IF($A$2=7,SUMIFS('Pricelist AUD'!$M$3:$M$112,'Pricelist AUD'!$O$3:$O$112,'Calculator +1 tier'!$C18,'Pricelist AUD'!$E$3:$E$112,$D$3),IF($A$2=8,SUMIFS('Pricelist AUD'!$N$3:$N$112,'Pricelist AUD'!$O$3:$O$112,'Calculator +1 tier'!$C18,'Pricelist AUD'!$E$3:$E$112,$D$3),"")))))))),"")</f>
        <v/>
      </c>
      <c r="F18" s="628" t="str">
        <f t="shared" si="0"/>
        <v/>
      </c>
    </row>
    <row r="19" spans="1:6" ht="17.45" customHeight="1">
      <c r="A19" s="828"/>
      <c r="B19" s="800"/>
      <c r="C19" s="162" t="str">
        <f>'Solution-based'!C20</f>
        <v># Ultimate Google Workspace (unlimited Acronis Hosted Cloud Storage included*)</v>
      </c>
      <c r="D19" s="156">
        <f>'Solution-based'!E20</f>
        <v>0</v>
      </c>
      <c r="E19" s="626" t="str">
        <f>IF(D19&gt;0,IF($A$2=1,SUMIFS('Pricelist AUD'!$G$3:$G$112,'Pricelist AUD'!$O$3:$O$112,'Calculator +1 tier'!$C19,'Pricelist AUD'!$E$3:$E$112,$D$3),IF($A$2=2,SUMIFS('Pricelist AUD'!$H$3:$H$112,'Pricelist AUD'!$O$3:$O$112,'Calculator +1 tier'!$C19,'Pricelist AUD'!$E$3:$E$112,$D$3),IF($A$2=3,SUMIFS('Pricelist AUD'!$I$3:$I$112,'Pricelist AUD'!$O$3:$O$112,'Calculator +1 tier'!$C19,'Pricelist AUD'!$E$3:$E$112,$D$3),IF($A$2=4,SUMIFS('Pricelist AUD'!$J$3:$J$112,'Pricelist AUD'!$O$3:$O$112,'Calculator +1 tier'!$C19,'Pricelist AUD'!$E$3:$E$112,$D$3),IF($A$2=5,SUMIFS('Pricelist AUD'!$K$3:$K$112,'Pricelist AUD'!$O$3:$O$112,'Calculator +1 tier'!$C19,'Pricelist AUD'!$E$3:$E$112,$D$3),IF($A$2=6,SUMIFS('Pricelist AUD'!$L$3:$L$112,'Pricelist AUD'!$O$3:$O$112,'Calculator +1 tier'!$C19,'Pricelist AUD'!$E$3:$E$112,$D$3),IF($A$2=7,SUMIFS('Pricelist AUD'!$M$3:$M$112,'Pricelist AUD'!$O$3:$O$112,'Calculator +1 tier'!$C19,'Pricelist AUD'!$E$3:$E$112,$D$3),IF($A$2=8,SUMIFS('Pricelist AUD'!$N$3:$N$112,'Pricelist AUD'!$O$3:$O$112,'Calculator +1 tier'!$C19,'Pricelist AUD'!$E$3:$E$112,$D$3),"")))))))),"")</f>
        <v/>
      </c>
      <c r="F19" s="627" t="str">
        <f t="shared" si="0"/>
        <v/>
      </c>
    </row>
    <row r="20" spans="1:6" ht="17.45" customHeight="1">
      <c r="A20" s="828"/>
      <c r="B20" s="800" t="s">
        <v>28</v>
      </c>
      <c r="C20" s="159" t="str">
        <f>'Solution-based'!C21</f>
        <v># Standard MDR Workloads for Base Licensing (Servers, VMs, Workstations, Hosting Servers)</v>
      </c>
      <c r="D20" s="155">
        <f>'Solution-based'!E21</f>
        <v>0</v>
      </c>
      <c r="E20" s="626" t="str">
        <f>IF(D20&gt;0,IF($A$2=1,SUMIFS('Pricelist AUD'!$G$3:$G$112,'Pricelist AUD'!$O$3:$O$112,'Calculator +1 tier'!$C20),IF($A$2=2,SUMIFS('Pricelist AUD'!$H$3:$H$112,'Pricelist AUD'!$O$3:$O$112,'Calculator +1 tier'!$C20),IF($A$2=3,SUMIFS('Pricelist AUD'!$I$3:$I$112,'Pricelist AUD'!$O$3:$O$112,'Calculator +1 tier'!$C20),IF($A$2=4,SUMIFS('Pricelist AUD'!$J$3:$J$112,'Pricelist AUD'!$O$3:$O$112,'Calculator +1 tier'!$C20),IF($A$2=5,SUMIFS('Pricelist AUD'!$K$3:$K$112,'Pricelist AUD'!$O$3:$O$112,'Calculator +1 tier'!$C20),IF($A$2=6,SUMIFS('Pricelist AUD'!$L$3:$L$112,'Pricelist AUD'!$O$3:$O$112,'Calculator +1 tier'!$C20),IF($A$2=7,SUMIFS('Pricelist AUD'!$M$3:$M$112,'Pricelist AUD'!$O$3:$O$112,'Calculator +1 tier'!$C20),IF($A$2=8,SUMIFS('Pricelist AUD'!$N$3:$N$112,'Pricelist AUD'!$O$3:$O$112,'Calculator +1 tier'!$C20),"")))))))),"")</f>
        <v/>
      </c>
      <c r="F20" s="628" t="str">
        <f t="shared" si="0"/>
        <v/>
      </c>
    </row>
    <row r="21" spans="1:6" ht="17.45" customHeight="1">
      <c r="A21" s="828"/>
      <c r="B21" s="800"/>
      <c r="C21" s="57" t="str">
        <f>'Solution-based'!C22</f>
        <v># Advanced MDR Workloads for Base Licensing (Servers, VMs, Workstations, Hosting Servers)</v>
      </c>
      <c r="D21" s="156">
        <f>'Solution-based'!E22</f>
        <v>0</v>
      </c>
      <c r="E21" s="626" t="str">
        <f>IF(D21&gt;0,IF($A$2=1,SUMIFS('Pricelist AUD'!$G$3:$G$112,'Pricelist AUD'!$O$3:$O$112,'Calculator +1 tier'!$C21),IF($A$2=2,SUMIFS('Pricelist AUD'!$H$3:$H$112,'Pricelist AUD'!$O$3:$O$112,'Calculator +1 tier'!$C21),IF($A$2=3,SUMIFS('Pricelist AUD'!$I$3:$I$112,'Pricelist AUD'!$O$3:$O$112,'Calculator +1 tier'!$C21),IF($A$2=4,SUMIFS('Pricelist AUD'!$J$3:$J$112,'Pricelist AUD'!$O$3:$O$112,'Calculator +1 tier'!$C21),IF($A$2=5,SUMIFS('Pricelist AUD'!$K$3:$K$112,'Pricelist AUD'!$O$3:$O$112,'Calculator +1 tier'!$C21),IF($A$2=6,SUMIFS('Pricelist AUD'!$L$3:$L$112,'Pricelist AUD'!$O$3:$O$112,'Calculator +1 tier'!$C21),IF($A$2=7,SUMIFS('Pricelist AUD'!$M$3:$M$112,'Pricelist AUD'!$O$3:$O$112,'Calculator +1 tier'!$C21),IF($A$2=8,SUMIFS('Pricelist AUD'!$N$3:$N$112,'Pricelist AUD'!$O$3:$O$112,'Calculator +1 tier'!$C21),"")))))))),"")</f>
        <v/>
      </c>
      <c r="F21" s="627" t="str">
        <f t="shared" si="0"/>
        <v/>
      </c>
    </row>
    <row r="22" spans="1:6" ht="17.45" customHeight="1">
      <c r="A22" s="828"/>
      <c r="B22" s="343" t="s">
        <v>32</v>
      </c>
      <c r="C22" s="161" t="str">
        <f>'Solution-based'!C23</f>
        <v># Security Awareness Training for Solution-based Licensing (Users)</v>
      </c>
      <c r="D22" s="155">
        <f>'Solution-based'!E23</f>
        <v>0</v>
      </c>
      <c r="E22" s="626" t="str">
        <f>IF(D22&gt;0,IF($A$2=1,SUMIFS('Pricelist AUD'!$G$3:$G$112,'Pricelist AUD'!$O$3:$O$112,'Calculator +1 tier'!$C22),IF($A$2=2,SUMIFS('Pricelist AUD'!$H$3:$H$112,'Pricelist AUD'!$O$3:$O$112,'Calculator +1 tier'!$C22),IF($A$2=3,SUMIFS('Pricelist AUD'!$I$3:$I$112,'Pricelist AUD'!$O$3:$O$112,'Calculator +1 tier'!$C22),IF($A$2=4,SUMIFS('Pricelist AUD'!$J$3:$J$112,'Pricelist AUD'!$O$3:$O$112,'Calculator +1 tier'!$C22),IF($A$2=5,SUMIFS('Pricelist AUD'!$K$3:$K$112,'Pricelist AUD'!$O$3:$O$112,'Calculator +1 tier'!$C22),IF($A$2=6,SUMIFS('Pricelist AUD'!$L$3:$L$112,'Pricelist AUD'!$O$3:$O$112,'Calculator +1 tier'!$C22),IF($A$2=7,SUMIFS('Pricelist AUD'!$M$3:$M$112,'Pricelist AUD'!$O$3:$O$112,'Calculator +1 tier'!$C22),IF($A$2=8,SUMIFS('Pricelist AUD'!$N$3:$N$112,'Pricelist AUD'!$O$3:$O$112,'Calculator +1 tier'!$C22),"")))))))),"")</f>
        <v/>
      </c>
      <c r="F22" s="628" t="str">
        <f t="shared" si="0"/>
        <v/>
      </c>
    </row>
    <row r="23" spans="1:6" ht="17.45" customHeight="1">
      <c r="A23" s="828"/>
      <c r="B23" s="343" t="s">
        <v>159</v>
      </c>
      <c r="C23" s="57" t="str">
        <f>'Solution-based'!C24</f>
        <v>Acronis Cloud Storage at Acronis Datacenter (for Solution-based Licensing overages)</v>
      </c>
      <c r="D23" s="156">
        <f>'Solution-based'!E24</f>
        <v>0</v>
      </c>
      <c r="E23" s="626" t="str">
        <f>IF(D23&gt;0,IF($A$2=1,SUMIFS('Pricelist AUD'!$G$3:$G$112,'Pricelist AUD'!$O$3:$O$112,'Calculator +1 tier'!$C23,'Pricelist AUD'!$E$3:$E$112,$D$3),IF($A$2=2,SUMIFS('Pricelist AUD'!$H$3:$H$112,'Pricelist AUD'!$O$3:$O$112,'Calculator +1 tier'!$C23,'Pricelist AUD'!$E$3:$E$112,$D$3),IF($A$2=3,SUMIFS('Pricelist AUD'!$I$3:$I$112,'Pricelist AUD'!$O$3:$O$112,'Calculator +1 tier'!$C23,'Pricelist AUD'!$E$3:$E$112,$D$3),IF($A$2=4,SUMIFS('Pricelist AUD'!$J$3:$J$112,'Pricelist AUD'!$O$3:$O$112,'Calculator +1 tier'!$C23,'Pricelist AUD'!$E$3:$E$112,$D$3),IF($A$2=5,SUMIFS('Pricelist AUD'!$K$3:$K$112,'Pricelist AUD'!$O$3:$O$112,'Calculator +1 tier'!$C23,'Pricelist AUD'!$E$3:$E$112,$D$3),IF($A$2=6,SUMIFS('Pricelist AUD'!$L$3:$L$112,'Pricelist AUD'!$O$3:$O$112,'Calculator +1 tier'!$C23,'Pricelist AUD'!$E$3:$E$112,$D$3),IF($A$2=7,SUMIFS('Pricelist AUD'!$M$3:$M$112,'Pricelist AUD'!$O$3:$O$112,'Calculator +1 tier'!$C23,'Pricelist AUD'!$E$3:$E$112,$D$3),IF($A$2=8,SUMIFS('Pricelist AUD'!$N$3:$N$112,'Pricelist AUD'!$O$3:$O$112,'Calculator +1 tier'!$C23,'Pricelist AUD'!$E$3:$E$112,$D$3),"")))))))),"")</f>
        <v/>
      </c>
      <c r="F23" s="628" t="str">
        <f t="shared" si="0"/>
        <v/>
      </c>
    </row>
    <row r="24" spans="1:6" ht="17.45" customHeight="1">
      <c r="A24" s="828"/>
      <c r="B24" s="800" t="s">
        <v>37</v>
      </c>
      <c r="C24" s="161" t="str">
        <f>'Solution-based'!C25</f>
        <v>Solution-based licensing - Backup Geo-redundant - Acronis Hosted Storage</v>
      </c>
      <c r="D24" s="155">
        <f>'Solution-based'!E25</f>
        <v>0</v>
      </c>
      <c r="E24" s="626" t="str">
        <f>IF(D24&gt;0,IF($A$2=1,SUMIFS('Pricelist AUD'!$G$3:$G$112,'Pricelist AUD'!$O$3:$O$112,'Calculator +1 tier'!$C24),IF($A$2=2,SUMIFS('Pricelist AUD'!$H$3:$H$112,'Pricelist AUD'!$O$3:$O$112,'Calculator +1 tier'!$C24),IF($A$2=3,SUMIFS('Pricelist AUD'!$I$3:$I$112,'Pricelist AUD'!$O$3:$O$112,'Calculator +1 tier'!$C24),IF($A$2=4,SUMIFS('Pricelist AUD'!$J$3:$J$112,'Pricelist AUD'!$O$3:$O$112,'Calculator +1 tier'!$C24),IF($A$2=5,SUMIFS('Pricelist AUD'!$K$3:$K$112,'Pricelist AUD'!$O$3:$O$112,'Calculator +1 tier'!$C24),IF($A$2=6,SUMIFS('Pricelist AUD'!$L$3:$L$112,'Pricelist AUD'!$O$3:$O$112,'Calculator +1 tier'!$C24),IF($A$2=7,SUMIFS('Pricelist AUD'!$M$3:$M$112,'Pricelist AUD'!$O$3:$O$112,'Calculator +1 tier'!$C24),IF($A$2=8,SUMIFS('Pricelist AUD'!$N$3:$N$112,'Pricelist AUD'!$O$3:$O$112,'Calculator +1 tier'!$C24),"")))))))),"")</f>
        <v/>
      </c>
      <c r="F24" s="627" t="str">
        <f t="shared" si="0"/>
        <v/>
      </c>
    </row>
    <row r="25" spans="1:6" ht="17.45" customHeight="1">
      <c r="A25" s="828"/>
      <c r="B25" s="800"/>
      <c r="C25" s="57" t="str">
        <f>'Solution-based'!C26</f>
        <v>Solution-based licensing - # Geo-redundant Microsoft 365 seat (unlimited Acronis Hosted Cloud Storage included*)</v>
      </c>
      <c r="D25" s="156">
        <f>'Solution-based'!E26</f>
        <v>0</v>
      </c>
      <c r="E25" s="626" t="str">
        <f>IF(D25&gt;0,IF($A$2=1,SUMIFS('Pricelist AUD'!$G$3:$G$112,'Pricelist AUD'!$O$3:$O$112,'Calculator +1 tier'!$C25),IF($A$2=2,SUMIFS('Pricelist AUD'!$H$3:$H$112,'Pricelist AUD'!$O$3:$O$112,'Calculator +1 tier'!$C25),IF($A$2=3,SUMIFS('Pricelist AUD'!$I$3:$I$112,'Pricelist AUD'!$O$3:$O$112,'Calculator +1 tier'!$C25),IF($A$2=4,SUMIFS('Pricelist AUD'!$J$3:$J$112,'Pricelist AUD'!$O$3:$O$112,'Calculator +1 tier'!$C25),IF($A$2=5,SUMIFS('Pricelist AUD'!$K$3:$K$112,'Pricelist AUD'!$O$3:$O$112,'Calculator +1 tier'!$C25),IF($A$2=6,SUMIFS('Pricelist AUD'!$L$3:$L$112,'Pricelist AUD'!$O$3:$O$112,'Calculator +1 tier'!$C25),IF($A$2=7,SUMIFS('Pricelist AUD'!$M$3:$M$112,'Pricelist AUD'!$O$3:$O$112,'Calculator +1 tier'!$C25),IF($A$2=8,SUMIFS('Pricelist AUD'!$N$3:$N$112,'Pricelist AUD'!$O$3:$O$112,'Calculator +1 tier'!$C25),"")))))))),"")</f>
        <v/>
      </c>
      <c r="F25" s="628" t="str">
        <f t="shared" si="0"/>
        <v/>
      </c>
    </row>
    <row r="26" spans="1:6" ht="17.45" customHeight="1">
      <c r="A26" s="828"/>
      <c r="B26" s="800"/>
      <c r="C26" s="161" t="str">
        <f>'Solution-based'!C27</f>
        <v>Solution-based licensing - # Geo-redundant Google Workspace seat (unlimited Acronis Hosted Cloud Storage included*)</v>
      </c>
      <c r="D26" s="155">
        <f>'Solution-based'!E27</f>
        <v>0</v>
      </c>
      <c r="E26" s="626" t="str">
        <f>IF(D26&gt;0,IF($A$2=1,SUMIFS('Pricelist AUD'!$G$3:$G$112,'Pricelist AUD'!$O$3:$O$112,'Calculator +1 tier'!$C26),IF($A$2=2,SUMIFS('Pricelist AUD'!$H$3:$H$112,'Pricelist AUD'!$O$3:$O$112,'Calculator +1 tier'!$C26),IF($A$2=3,SUMIFS('Pricelist AUD'!$I$3:$I$112,'Pricelist AUD'!$O$3:$O$112,'Calculator +1 tier'!$C26),IF($A$2=4,SUMIFS('Pricelist AUD'!$J$3:$J$112,'Pricelist AUD'!$O$3:$O$112,'Calculator +1 tier'!$C26),IF($A$2=5,SUMIFS('Pricelist AUD'!$K$3:$K$112,'Pricelist AUD'!$O$3:$O$112,'Calculator +1 tier'!$C26),IF($A$2=6,SUMIFS('Pricelist AUD'!$L$3:$L$112,'Pricelist AUD'!$O$3:$O$112,'Calculator +1 tier'!$C26),IF($A$2=7,SUMIFS('Pricelist AUD'!$M$3:$M$112,'Pricelist AUD'!$O$3:$O$112,'Calculator +1 tier'!$C26),IF($A$2=8,SUMIFS('Pricelist AUD'!$N$3:$N$112,'Pricelist AUD'!$O$3:$O$112,'Calculator +1 tier'!$C26),"")))))))),"")</f>
        <v/>
      </c>
      <c r="F26" s="627" t="str">
        <f t="shared" si="0"/>
        <v/>
      </c>
    </row>
    <row r="27" spans="1:6" ht="17.45" customHeight="1">
      <c r="A27" s="828"/>
      <c r="B27" s="800" t="s">
        <v>38</v>
      </c>
      <c r="C27" s="162" t="str">
        <f>'Solution-based'!C28</f>
        <v>Monthly Compute Point Consumption for BDR/Ultimate</v>
      </c>
      <c r="D27" s="156" t="str">
        <f>'Solution-based'!E28</f>
        <v/>
      </c>
      <c r="E27" s="626">
        <f>IF(D27&gt;0,IF($A$2=1,SUMIFS('Pricelist AUD'!$G$3:$G$112,'Pricelist AUD'!$O$3:$O$112,'Calculator +1 tier'!$C27),IF($A$2=2,SUMIFS('Pricelist AUD'!$H$3:$H$112,'Pricelist AUD'!$O$3:$O$112,'Calculator +1 tier'!$C27),IF($A$2=3,SUMIFS('Pricelist AUD'!$I$3:$I$112,'Pricelist AUD'!$O$3:$O$112,'Calculator +1 tier'!$C27),IF($A$2=4,SUMIFS('Pricelist AUD'!$J$3:$J$112,'Pricelist AUD'!$O$3:$O$112,'Calculator +1 tier'!$C27),IF($A$2=5,SUMIFS('Pricelist AUD'!$K$3:$K$112,'Pricelist AUD'!$O$3:$O$112,'Calculator +1 tier'!$C27),IF($A$2=6,SUMIFS('Pricelist AUD'!$L$3:$L$112,'Pricelist AUD'!$O$3:$O$112,'Calculator +1 tier'!$C27),IF($A$2=7,SUMIFS('Pricelist AUD'!$M$3:$M$112,'Pricelist AUD'!$O$3:$O$112,'Calculator +1 tier'!$C27),IF($A$2=8,SUMIFS('Pricelist AUD'!$N$3:$N$112,'Pricelist AUD'!$O$3:$O$112,'Calculator +1 tier'!$C27),"")))))))),"")</f>
        <v>8.7999999999999995E-2</v>
      </c>
      <c r="F27" s="628" t="str">
        <f t="shared" si="0"/>
        <v/>
      </c>
    </row>
    <row r="28" spans="1:6" ht="17.45" customHeight="1">
      <c r="A28" s="829"/>
      <c r="B28" s="811"/>
      <c r="C28" s="159" t="str">
        <f>'Solution-based'!C29</f>
        <v>Public IPs for BDR/Ultimate</v>
      </c>
      <c r="D28" s="160">
        <f>'Solution-based'!E29</f>
        <v>0</v>
      </c>
      <c r="E28" s="626" t="str">
        <f>IF(D28&gt;0,IF($A$2=1,SUMIFS('Pricelist AUD'!$G$3:$G$112,'Pricelist AUD'!$O$3:$O$112,'Calculator +1 tier'!$C28),IF($A$2=2,SUMIFS('Pricelist AUD'!$H$3:$H$112,'Pricelist AUD'!$O$3:$O$112,'Calculator +1 tier'!$C28),IF($A$2=3,SUMIFS('Pricelist AUD'!$I$3:$I$112,'Pricelist AUD'!$O$3:$O$112,'Calculator +1 tier'!$C28),IF($A$2=4,SUMIFS('Pricelist AUD'!$J$3:$J$112,'Pricelist AUD'!$O$3:$O$112,'Calculator +1 tier'!$C28),IF($A$2=5,SUMIFS('Pricelist AUD'!$K$3:$K$112,'Pricelist AUD'!$O$3:$O$112,'Calculator +1 tier'!$C28),IF($A$2=6,SUMIFS('Pricelist AUD'!$L$3:$L$112,'Pricelist AUD'!$O$3:$O$112,'Calculator +1 tier'!$C28),IF($A$2=7,SUMIFS('Pricelist AUD'!$M$3:$M$112,'Pricelist AUD'!$O$3:$O$112,'Calculator +1 tier'!$C28),IF($A$2=8,SUMIFS('Pricelist AUD'!$N$3:$N$112,'Pricelist AUD'!$O$3:$O$112,'Calculator +1 tier'!$C28),"")))))))),"")</f>
        <v/>
      </c>
      <c r="F28" s="627" t="str">
        <f t="shared" si="0"/>
        <v/>
      </c>
    </row>
    <row r="29" spans="1:6" ht="14.45" customHeight="1">
      <c r="A29" s="831" t="s">
        <v>160</v>
      </c>
      <c r="B29" s="812" t="s">
        <v>161</v>
      </c>
      <c r="C29" s="159" t="str">
        <f>'Service-based'!C17</f>
        <v># Physical Servers</v>
      </c>
      <c r="D29" s="160">
        <f>'Service-based'!E17</f>
        <v>0</v>
      </c>
      <c r="E29" s="626" t="str">
        <f>IF(D29&gt;0,IF($A$2=1,SUMIFS('Pricelist AUD'!$G$3:$G$112,'Pricelist AUD'!$O$3:$O$112,'Calculator +1 tier'!$C29),IF($A$2=2,SUMIFS('Pricelist AUD'!$H$3:$H$112,'Pricelist AUD'!$O$3:$O$112,'Calculator +1 tier'!$C29),IF($A$2=3,SUMIFS('Pricelist AUD'!$I$3:$I$112,'Pricelist AUD'!$O$3:$O$112,'Calculator +1 tier'!$C29),IF($A$2=4,SUMIFS('Pricelist AUD'!$J$3:$J$112,'Pricelist AUD'!$O$3:$O$112,'Calculator +1 tier'!$C29),IF($A$2=5,SUMIFS('Pricelist AUD'!$K$3:$K$112,'Pricelist AUD'!$O$3:$O$112,'Calculator +1 tier'!$C29),IF($A$2=6,SUMIFS('Pricelist AUD'!$L$3:$L$112,'Pricelist AUD'!$O$3:$O$112,'Calculator +1 tier'!$C29),IF($A$2=7,SUMIFS('Pricelist AUD'!$M$3:$M$112,'Pricelist AUD'!$O$3:$O$112,'Calculator +1 tier'!$C29),IF($A$2=8,SUMIFS('Pricelist AUD'!$N$3:$N$112,'Pricelist AUD'!$O$3:$O$112,'Calculator +1 tier'!$C29),"")))))))),"")</f>
        <v/>
      </c>
      <c r="F29" s="628" t="str">
        <f t="shared" si="0"/>
        <v/>
      </c>
    </row>
    <row r="30" spans="1:6" ht="14.45" customHeight="1">
      <c r="A30" s="722"/>
      <c r="B30" s="802"/>
      <c r="C30" s="57" t="s">
        <v>65</v>
      </c>
      <c r="D30" s="156">
        <f>'Service-based'!E18</f>
        <v>0</v>
      </c>
      <c r="E30" s="626" t="str">
        <f>IF(D30&gt;0,IF($A$2=1,SUMIFS('Pricelist AUD'!$G$3:$G$112,'Pricelist AUD'!$O$3:$O$112,'Calculator +1 tier'!$C30),IF($A$2=2,SUMIFS('Pricelist AUD'!$H$3:$H$112,'Pricelist AUD'!$O$3:$O$112,'Calculator +1 tier'!$C30),IF($A$2=3,SUMIFS('Pricelist AUD'!$I$3:$I$112,'Pricelist AUD'!$O$3:$O$112,'Calculator +1 tier'!$C30),IF($A$2=4,SUMIFS('Pricelist AUD'!$J$3:$J$112,'Pricelist AUD'!$O$3:$O$112,'Calculator +1 tier'!$C30),IF($A$2=5,SUMIFS('Pricelist AUD'!$K$3:$K$112,'Pricelist AUD'!$O$3:$O$112,'Calculator +1 tier'!$C30),IF($A$2=6,SUMIFS('Pricelist AUD'!$L$3:$L$112,'Pricelist AUD'!$O$3:$O$112,'Calculator +1 tier'!$C30),IF($A$2=7,SUMIFS('Pricelist AUD'!$M$3:$M$112,'Pricelist AUD'!$O$3:$O$112,'Calculator +1 tier'!$C30),IF($A$2=8,SUMIFS('Pricelist AUD'!$N$3:$N$112,'Pricelist AUD'!$O$3:$O$112,'Calculator +1 tier'!$C30),"")))))))),"")</f>
        <v/>
      </c>
      <c r="F30" s="628" t="str">
        <f t="shared" ref="F30:F45" si="1">IFERROR(D30*E30,"")</f>
        <v/>
      </c>
    </row>
    <row r="31" spans="1:6" ht="14.45" customHeight="1">
      <c r="A31" s="722"/>
      <c r="B31" s="802"/>
      <c r="C31" s="161" t="str">
        <f>'Service-based'!C19</f>
        <v># Virtual Machines</v>
      </c>
      <c r="D31" s="155">
        <f>'Service-based'!E19</f>
        <v>0</v>
      </c>
      <c r="E31" s="626" t="str">
        <f>IF(D31&gt;0,IF($A$2=1,SUMIFS('Pricelist AUD'!$G$3:$G$112,'Pricelist AUD'!$O$3:$O$112,'Calculator +1 tier'!$C31),IF($A$2=2,SUMIFS('Pricelist AUD'!$H$3:$H$112,'Pricelist AUD'!$O$3:$O$112,'Calculator +1 tier'!$C31),IF($A$2=3,SUMIFS('Pricelist AUD'!$I$3:$I$112,'Pricelist AUD'!$O$3:$O$112,'Calculator +1 tier'!$C31),IF($A$2=4,SUMIFS('Pricelist AUD'!$J$3:$J$112,'Pricelist AUD'!$O$3:$O$112,'Calculator +1 tier'!$C31),IF($A$2=5,SUMIFS('Pricelist AUD'!$K$3:$K$112,'Pricelist AUD'!$O$3:$O$112,'Calculator +1 tier'!$C31),IF($A$2=6,SUMIFS('Pricelist AUD'!$L$3:$L$112,'Pricelist AUD'!$O$3:$O$112,'Calculator +1 tier'!$C31),IF($A$2=7,SUMIFS('Pricelist AUD'!$M$3:$M$112,'Pricelist AUD'!$O$3:$O$112,'Calculator +1 tier'!$C31),IF($A$2=8,SUMIFS('Pricelist AUD'!$N$3:$N$112,'Pricelist AUD'!$O$3:$O$112,'Calculator +1 tier'!$C31),"")))))))),"")</f>
        <v/>
      </c>
      <c r="F31" s="627" t="str">
        <f t="shared" si="1"/>
        <v/>
      </c>
    </row>
    <row r="32" spans="1:6" ht="14.45" customHeight="1">
      <c r="A32" s="722"/>
      <c r="B32" s="802"/>
      <c r="C32" s="57" t="str">
        <f>'Service-based'!C20</f>
        <v># vCloud Director Virtual Machines</v>
      </c>
      <c r="D32" s="156">
        <f>'Service-based'!E20</f>
        <v>0</v>
      </c>
      <c r="E32" s="626" t="str">
        <f>IF(D32&gt;0,IF($A$2=1,SUMIFS('Pricelist AUD'!$G$3:$G$112,'Pricelist AUD'!$O$3:$O$112,'Calculator +1 tier'!$C32),IF($A$2=2,SUMIFS('Pricelist AUD'!$H$3:$H$112,'Pricelist AUD'!$O$3:$O$112,'Calculator +1 tier'!$C32),IF($A$2=3,SUMIFS('Pricelist AUD'!$I$3:$I$112,'Pricelist AUD'!$O$3:$O$112,'Calculator +1 tier'!$C32),IF($A$2=4,SUMIFS('Pricelist AUD'!$J$3:$J$112,'Pricelist AUD'!$O$3:$O$112,'Calculator +1 tier'!$C32),IF($A$2=5,SUMIFS('Pricelist AUD'!$K$3:$K$112,'Pricelist AUD'!$O$3:$O$112,'Calculator +1 tier'!$C32),IF($A$2=6,SUMIFS('Pricelist AUD'!$L$3:$L$112,'Pricelist AUD'!$O$3:$O$112,'Calculator +1 tier'!$C32),IF($A$2=7,SUMIFS('Pricelist AUD'!$M$3:$M$112,'Pricelist AUD'!$O$3:$O$112,'Calculator +1 tier'!$C32),IF($A$2=8,SUMIFS('Pricelist AUD'!$N$3:$N$112,'Pricelist AUD'!$O$3:$O$112,'Calculator +1 tier'!$C32),"")))))))),"")</f>
        <v/>
      </c>
      <c r="F32" s="628" t="str">
        <f t="shared" si="1"/>
        <v/>
      </c>
    </row>
    <row r="33" spans="1:6" ht="14.45" customHeight="1">
      <c r="A33" s="722"/>
      <c r="B33" s="802"/>
      <c r="C33" s="161" t="str">
        <f>'Service-based'!C21</f>
        <v># Workstations</v>
      </c>
      <c r="D33" s="155">
        <f>'Service-based'!E21</f>
        <v>0</v>
      </c>
      <c r="E33" s="626" t="str">
        <f>IF(D33&gt;0,IF($A$2=1,SUMIFS('Pricelist AUD'!$G$3:$G$112,'Pricelist AUD'!$O$3:$O$112,'Calculator +1 tier'!$C33),IF($A$2=2,SUMIFS('Pricelist AUD'!$H$3:$H$112,'Pricelist AUD'!$O$3:$O$112,'Calculator +1 tier'!$C33),IF($A$2=3,SUMIFS('Pricelist AUD'!$I$3:$I$112,'Pricelist AUD'!$O$3:$O$112,'Calculator +1 tier'!$C33),IF($A$2=4,SUMIFS('Pricelist AUD'!$J$3:$J$112,'Pricelist AUD'!$O$3:$O$112,'Calculator +1 tier'!$C33),IF($A$2=5,SUMIFS('Pricelist AUD'!$K$3:$K$112,'Pricelist AUD'!$O$3:$O$112,'Calculator +1 tier'!$C33),IF($A$2=6,SUMIFS('Pricelist AUD'!$L$3:$L$112,'Pricelist AUD'!$O$3:$O$112,'Calculator +1 tier'!$C33),IF($A$2=7,SUMIFS('Pricelist AUD'!$M$3:$M$112,'Pricelist AUD'!$O$3:$O$112,'Calculator +1 tier'!$C33),IF($A$2=8,SUMIFS('Pricelist AUD'!$N$3:$N$112,'Pricelist AUD'!$O$3:$O$112,'Calculator +1 tier'!$C33),"")))))))),"")</f>
        <v/>
      </c>
      <c r="F33" s="627" t="str">
        <f t="shared" si="1"/>
        <v/>
      </c>
    </row>
    <row r="34" spans="1:6" ht="14.45" customHeight="1">
      <c r="A34" s="722"/>
      <c r="B34" s="802"/>
      <c r="C34" s="57" t="str">
        <f>'Service-based'!C22</f>
        <v># Hosting Servers</v>
      </c>
      <c r="D34" s="156">
        <f>'Service-based'!E22</f>
        <v>0</v>
      </c>
      <c r="E34" s="626" t="str">
        <f>IF(D34&gt;0,IF($A$2=1,SUMIFS('Pricelist AUD'!$G$3:$G$112,'Pricelist AUD'!$O$3:$O$112,'Calculator +1 tier'!$C34),IF($A$2=2,SUMIFS('Pricelist AUD'!$H$3:$H$112,'Pricelist AUD'!$O$3:$O$112,'Calculator +1 tier'!$C34),IF($A$2=3,SUMIFS('Pricelist AUD'!$I$3:$I$112,'Pricelist AUD'!$O$3:$O$112,'Calculator +1 tier'!$C34),IF($A$2=4,SUMIFS('Pricelist AUD'!$J$3:$J$112,'Pricelist AUD'!$O$3:$O$112,'Calculator +1 tier'!$C34),IF($A$2=5,SUMIFS('Pricelist AUD'!$K$3:$K$112,'Pricelist AUD'!$O$3:$O$112,'Calculator +1 tier'!$C34),IF($A$2=6,SUMIFS('Pricelist AUD'!$L$3:$L$112,'Pricelist AUD'!$O$3:$O$112,'Calculator +1 tier'!$C34),IF($A$2=7,SUMIFS('Pricelist AUD'!$M$3:$M$112,'Pricelist AUD'!$O$3:$O$112,'Calculator +1 tier'!$C34),IF($A$2=8,SUMIFS('Pricelist AUD'!$N$3:$N$112,'Pricelist AUD'!$O$3:$O$112,'Calculator +1 tier'!$C34),"")))))))),"")</f>
        <v/>
      </c>
      <c r="F34" s="628" t="str">
        <f t="shared" si="1"/>
        <v/>
      </c>
    </row>
    <row r="35" spans="1:6" ht="14.45" customHeight="1">
      <c r="A35" s="722"/>
      <c r="B35" s="802"/>
      <c r="C35" s="161" t="str">
        <f>'Service-based'!C23</f>
        <v># Microsoft 365 Seats (unlimited Acronis Hosted Cloud Storage included*)</v>
      </c>
      <c r="D35" s="155">
        <f>'Service-based'!E23</f>
        <v>0</v>
      </c>
      <c r="E35" s="626" t="str">
        <f>IF(D35&gt;0,IF($A$2=1,SUMIFS('Pricelist AUD'!$G$3:$G$112,'Pricelist AUD'!$O$3:$O$112,'Calculator +1 tier'!$C35,'Pricelist AUD'!$E$3:$E$112,$D$3),IF($A$2=2,SUMIFS('Pricelist AUD'!$H$3:$H$112,'Pricelist AUD'!$O$3:$O$112,'Calculator +1 tier'!$C35,'Pricelist AUD'!$E$3:$E$112,$D$3),IF($A$2=3,SUMIFS('Pricelist AUD'!$I$3:$I$112,'Pricelist AUD'!$O$3:$O$112,'Calculator +1 tier'!$C35,'Pricelist AUD'!$E$3:$E$112,$D$3),IF($A$2=4,SUMIFS('Pricelist AUD'!$J$3:$J$112,'Pricelist AUD'!$O$3:$O$112,'Calculator +1 tier'!$C35,'Pricelist AUD'!$E$3:$E$112,$D$3),IF($A$2=5,SUMIFS('Pricelist AUD'!$K$3:$K$112,'Pricelist AUD'!$O$3:$O$112,'Calculator +1 tier'!$C35,'Pricelist AUD'!$E$3:$E$112,$D$3),IF($A$2=6,SUMIFS('Pricelist AUD'!$L$3:$L$112,'Pricelist AUD'!$O$3:$O$112,'Calculator +1 tier'!$C35,'Pricelist AUD'!$E$3:$E$112,$D$3),IF($A$2=7,SUMIFS('Pricelist AUD'!$M$3:$M$112,'Pricelist AUD'!$O$3:$O$112,'Calculator +1 tier'!$C35,'Pricelist AUD'!$E$3:$E$112,$D$3),IF($A$2=8,SUMIFS('Pricelist AUD'!$N$3:$N$112,'Pricelist AUD'!$O$3:$O$112,'Calculator +1 tier'!$C35,'Pricelist AUD'!$E$3:$E$112,$D$3),"")))))))),"")</f>
        <v/>
      </c>
      <c r="F35" s="627" t="str">
        <f t="shared" si="1"/>
        <v/>
      </c>
    </row>
    <row r="36" spans="1:6" ht="14.45" customHeight="1">
      <c r="A36" s="722"/>
      <c r="B36" s="802"/>
      <c r="C36" s="162" t="str">
        <f>'Service-based'!C24</f>
        <v># Microsoft 365 Seats (for SP/Customer/Azure/Google Hosted Storage)</v>
      </c>
      <c r="D36" s="156">
        <f>'Service-based'!E24</f>
        <v>0</v>
      </c>
      <c r="E36" s="626" t="str">
        <f>IF(D36&gt;0,IF($A$2=1,SUMIFS('Pricelist AUD'!$G$3:$G$112,'Pricelist AUD'!$O$3:$O$112,'Calculator +1 tier'!$C36),IF($A$2=2,SUMIFS('Pricelist AUD'!$H$3:$H$112,'Pricelist AUD'!$O$3:$O$112,'Calculator +1 tier'!$C36),IF($A$2=3,SUMIFS('Pricelist AUD'!$I$3:$I$112,'Pricelist AUD'!$O$3:$O$112,'Calculator +1 tier'!$C36),IF($A$2=4,SUMIFS('Pricelist AUD'!$J$3:$J$112,'Pricelist AUD'!$O$3:$O$112,'Calculator +1 tier'!$C36),IF($A$2=5,SUMIFS('Pricelist AUD'!$K$3:$K$112,'Pricelist AUD'!$O$3:$O$112,'Calculator +1 tier'!$C36),IF($A$2=6,SUMIFS('Pricelist AUD'!$L$3:$L$112,'Pricelist AUD'!$O$3:$O$112,'Calculator +1 tier'!$C36),IF($A$2=7,SUMIFS('Pricelist AUD'!$M$3:$M$112,'Pricelist AUD'!$O$3:$O$112,'Calculator +1 tier'!$C36),IF($A$2=8,SUMIFS('Pricelist AUD'!$N$3:$N$112,'Pricelist AUD'!$O$3:$O$112,'Calculator +1 tier'!$C36),"")))))))),"")</f>
        <v/>
      </c>
      <c r="F36" s="628" t="str">
        <f t="shared" si="1"/>
        <v/>
      </c>
    </row>
    <row r="37" spans="1:6" ht="14.45" customHeight="1">
      <c r="A37" s="722"/>
      <c r="B37" s="802"/>
      <c r="C37" s="161" t="str">
        <f>'Service-based'!C25</f>
        <v># Google Workspace Seats (unlimited Acronis Hosted Cloud Storage included*)</v>
      </c>
      <c r="D37" s="155">
        <f>'Service-based'!E25</f>
        <v>0</v>
      </c>
      <c r="E37" s="626" t="str">
        <f>IF(D37&gt;0,IF($A$2=1,SUMIFS('Pricelist AUD'!$G$3:$G$112,'Pricelist AUD'!$O$3:$O$112,'Calculator +1 tier'!$C37,'Pricelist AUD'!$E$3:$E$112,$D$3),IF($A$2=2,SUMIFS('Pricelist AUD'!$H$3:$H$112,'Pricelist AUD'!$O$3:$O$112,'Calculator +1 tier'!$C37,'Pricelist AUD'!$E$3:$E$112,$D$3),IF($A$2=3,SUMIFS('Pricelist AUD'!$I$3:$I$112,'Pricelist AUD'!$O$3:$O$112,'Calculator +1 tier'!$C37,'Pricelist AUD'!$E$3:$E$112,$D$3),IF($A$2=4,SUMIFS('Pricelist AUD'!$J$3:$J$112,'Pricelist AUD'!$O$3:$O$112,'Calculator +1 tier'!$C37,'Pricelist AUD'!$E$3:$E$112,$D$3),IF($A$2=5,SUMIFS('Pricelist AUD'!$K$3:$K$112,'Pricelist AUD'!$O$3:$O$112,'Calculator +1 tier'!$C37,'Pricelist AUD'!$E$3:$E$112,$D$3),IF($A$2=6,SUMIFS('Pricelist AUD'!$L$3:$L$112,'Pricelist AUD'!$O$3:$O$112,'Calculator +1 tier'!$C37,'Pricelist AUD'!$E$3:$E$112,$D$3),IF($A$2=7,SUMIFS('Pricelist AUD'!$M$3:$M$112,'Pricelist AUD'!$O$3:$O$112,'Calculator +1 tier'!$C37,'Pricelist AUD'!$E$3:$E$112,$D$3),IF($A$2=8,SUMIFS('Pricelist AUD'!$N$3:$N$112,'Pricelist AUD'!$O$3:$O$112,'Calculator +1 tier'!$C37,'Pricelist AUD'!$E$3:$E$112,$D$3),"")))))))),"")</f>
        <v/>
      </c>
      <c r="F37" s="627" t="str">
        <f t="shared" si="1"/>
        <v/>
      </c>
    </row>
    <row r="38" spans="1:6" ht="14.45" customHeight="1">
      <c r="A38" s="722"/>
      <c r="B38" s="802"/>
      <c r="C38" s="161" t="str">
        <f>'Service-based'!C26</f>
        <v>#  Google Workspace Seats (for SP/Azure/Google Hosted Storage)</v>
      </c>
      <c r="D38" s="155">
        <f>'Service-based'!E26</f>
        <v>0</v>
      </c>
      <c r="E38" s="626" t="str">
        <f>IF(D38&gt;0,IF($A$2=1,SUMIFS('Pricelist AUD'!$G$3:$G$112,'Pricelist AUD'!$O$3:$O$112,'Calculator +1 tier'!$C38),IF($A$2=2,SUMIFS('Pricelist AUD'!$H$3:$H$112,'Pricelist AUD'!$O$3:$O$112,'Calculator +1 tier'!$C38),IF($A$2=3,SUMIFS('Pricelist AUD'!$I$3:$I$112,'Pricelist AUD'!$O$3:$O$112,'Calculator +1 tier'!$C38),IF($A$2=4,SUMIFS('Pricelist AUD'!$J$3:$J$112,'Pricelist AUD'!$O$3:$O$112,'Calculator +1 tier'!$C38),IF($A$2=5,SUMIFS('Pricelist AUD'!$K$3:$K$112,'Pricelist AUD'!$O$3:$O$112,'Calculator +1 tier'!$C38),IF($A$2=6,SUMIFS('Pricelist AUD'!$L$3:$L$112,'Pricelist AUD'!$O$3:$O$112,'Calculator +1 tier'!$C38),IF($A$2=7,SUMIFS('Pricelist AUD'!$M$3:$M$112,'Pricelist AUD'!$O$3:$O$112,'Calculator +1 tier'!$C38),IF($A$2=8,SUMIFS('Pricelist AUD'!$N$3:$N$112,'Pricelist AUD'!$O$3:$O$112,'Calculator +1 tier'!$C38),"")))))))),"")</f>
        <v/>
      </c>
      <c r="F38" s="627" t="str">
        <f t="shared" si="1"/>
        <v/>
      </c>
    </row>
    <row r="39" spans="1:6" ht="14.45" customHeight="1">
      <c r="A39" s="722"/>
      <c r="B39" s="802"/>
      <c r="C39" s="57" t="str">
        <f>'Service-based'!C27</f>
        <v># Mobile Devices</v>
      </c>
      <c r="D39" s="156">
        <f>'Service-based'!E27</f>
        <v>0</v>
      </c>
      <c r="E39" s="626" t="str">
        <f>IF(D39&gt;0,IF($A$2=1,SUMIFS('Pricelist AUD'!$G$3:$G$112,'Pricelist AUD'!$O$3:$O$112,'Calculator +1 tier'!$C39),IF($A$2=2,SUMIFS('Pricelist AUD'!$H$3:$H$112,'Pricelist AUD'!$O$3:$O$112,'Calculator +1 tier'!$C39),IF($A$2=3,SUMIFS('Pricelist AUD'!$I$3:$I$112,'Pricelist AUD'!$O$3:$O$112,'Calculator +1 tier'!$C39),IF($A$2=4,SUMIFS('Pricelist AUD'!$J$3:$J$112,'Pricelist AUD'!$O$3:$O$112,'Calculator +1 tier'!$C39),IF($A$2=5,SUMIFS('Pricelist AUD'!$K$3:$K$112,'Pricelist AUD'!$O$3:$O$112,'Calculator +1 tier'!$C39),IF($A$2=6,SUMIFS('Pricelist AUD'!$L$3:$L$112,'Pricelist AUD'!$O$3:$O$112,'Calculator +1 tier'!$C39),IF($A$2=7,SUMIFS('Pricelist AUD'!$M$3:$M$112,'Pricelist AUD'!$O$3:$O$112,'Calculator +1 tier'!$C39),IF($A$2=8,SUMIFS('Pricelist AUD'!$N$3:$N$112,'Pricelist AUD'!$O$3:$O$112,'Calculator +1 tier'!$C39),"")))))))),"")</f>
        <v/>
      </c>
      <c r="F39" s="628" t="str">
        <f t="shared" si="1"/>
        <v/>
      </c>
    </row>
    <row r="40" spans="1:6" ht="14.45" customHeight="1">
      <c r="A40" s="722"/>
      <c r="B40" s="802"/>
      <c r="C40" s="161" t="str">
        <f>'Service-based'!C28</f>
        <v># Websites</v>
      </c>
      <c r="D40" s="155">
        <f>'Service-based'!E28</f>
        <v>0</v>
      </c>
      <c r="E40" s="626" t="str">
        <f>IF(D40&gt;0,IF($A$2=1,SUMIFS('Pricelist AUD'!$G$3:$G$112,'Pricelist AUD'!$O$3:$O$112,'Calculator +1 tier'!$C40),IF($A$2=2,SUMIFS('Pricelist AUD'!$H$3:$H$112,'Pricelist AUD'!$O$3:$O$112,'Calculator +1 tier'!$C40),IF($A$2=3,SUMIFS('Pricelist AUD'!$I$3:$I$112,'Pricelist AUD'!$O$3:$O$112,'Calculator +1 tier'!$C40),IF($A$2=4,SUMIFS('Pricelist AUD'!$J$3:$J$112,'Pricelist AUD'!$O$3:$O$112,'Calculator +1 tier'!$C40),IF($A$2=5,SUMIFS('Pricelist AUD'!$K$3:$K$112,'Pricelist AUD'!$O$3:$O$112,'Calculator +1 tier'!$C40),IF($A$2=6,SUMIFS('Pricelist AUD'!$L$3:$L$112,'Pricelist AUD'!$O$3:$O$112,'Calculator +1 tier'!$C40),IF($A$2=7,SUMIFS('Pricelist AUD'!$M$3:$M$112,'Pricelist AUD'!$O$3:$O$112,'Calculator +1 tier'!$C40),IF($A$2=8,SUMIFS('Pricelist AUD'!$N$3:$N$112,'Pricelist AUD'!$O$3:$O$112,'Calculator +1 tier'!$C40),"")))))))),"")</f>
        <v/>
      </c>
      <c r="F40" s="627" t="str">
        <f t="shared" si="1"/>
        <v/>
      </c>
    </row>
    <row r="41" spans="1:6" ht="14.45" customHeight="1">
      <c r="A41" s="722"/>
      <c r="B41" s="802"/>
      <c r="C41" s="57" t="str">
        <f>'Service-based'!C29</f>
        <v>Acronis Cloud Storage at Acronis Datacenter (for Per Workload model)</v>
      </c>
      <c r="D41" s="157">
        <f>'Service-based'!E29</f>
        <v>0</v>
      </c>
      <c r="E41" s="626" t="str">
        <f>IF(D41&gt;0,IF($A$2=1,SUMIFS('Pricelist AUD'!$G$3:$G$112,'Pricelist AUD'!$O$3:$O$112,'Calculator +1 tier'!$C41,'Pricelist AUD'!$E$3:$E$112,$D$3),IF($A$2=2,SUMIFS('Pricelist AUD'!$H$3:$H$112,'Pricelist AUD'!$O$3:$O$112,'Calculator +1 tier'!$C41,'Pricelist AUD'!$E$3:$E$112,$D$3),IF($A$2=3,SUMIFS('Pricelist AUD'!$I$3:$I$112,'Pricelist AUD'!$O$3:$O$112,'Calculator +1 tier'!$C41,'Pricelist AUD'!$E$3:$E$112,$D$3),IF($A$2=4,SUMIFS('Pricelist AUD'!$J$3:$J$112,'Pricelist AUD'!$O$3:$O$112,'Calculator +1 tier'!$C41,'Pricelist AUD'!$E$3:$E$112,$D$3),IF($A$2=5,SUMIFS('Pricelist AUD'!$K$3:$K$112,'Pricelist AUD'!$O$3:$O$112,'Calculator +1 tier'!$C41,'Pricelist AUD'!$E$3:$E$112,$D$3),IF($A$2=6,SUMIFS('Pricelist AUD'!$L$3:$L$112,'Pricelist AUD'!$O$3:$O$112,'Calculator +1 tier'!$C41,'Pricelist AUD'!$E$3:$E$112,$D$3),IF($A$2=7,SUMIFS('Pricelist AUD'!$M$3:$M$112,'Pricelist AUD'!$O$3:$O$112,'Calculator +1 tier'!$C41,'Pricelist AUD'!$E$3:$E$112,$D$3),IF($A$2=8,SUMIFS('Pricelist AUD'!$N$3:$N$112,'Pricelist AUD'!$O$3:$O$112,'Calculator +1 tier'!$C41,'Pricelist AUD'!$E$3:$E$112,$D$3),"")))))))),"")</f>
        <v/>
      </c>
      <c r="F41" s="628" t="str">
        <f t="shared" si="1"/>
        <v/>
      </c>
    </row>
    <row r="42" spans="1:6" ht="15" customHeight="1">
      <c r="A42" s="722"/>
      <c r="B42" s="802"/>
      <c r="C42" s="163" t="str">
        <f>'Service-based'!C30</f>
        <v>Acronis Cloud Storage at Azure/Google datacenters (for Per Workload model)</v>
      </c>
      <c r="D42" s="158">
        <f>'Service-based'!E30</f>
        <v>0</v>
      </c>
      <c r="E42" s="626" t="str">
        <f>IF(D42&gt;0,IF($A$2=1,SUMIFS('Pricelist AUD'!$G$3:$G$112,'Pricelist AUD'!$O$3:$O$112,'Calculator +1 tier'!$C42),IF($A$2=2,SUMIFS('Pricelist AUD'!$H$3:$H$112,'Pricelist AUD'!$O$3:$O$112,'Calculator +1 tier'!$C42),IF($A$2=3,SUMIFS('Pricelist AUD'!$I$3:$I$112,'Pricelist AUD'!$O$3:$O$112,'Calculator +1 tier'!$C42),IF($A$2=4,SUMIFS('Pricelist AUD'!$J$3:$J$112,'Pricelist AUD'!$O$3:$O$112,'Calculator +1 tier'!$C42),IF($A$2=5,SUMIFS('Pricelist AUD'!$K$3:$K$112,'Pricelist AUD'!$O$3:$O$112,'Calculator +1 tier'!$C42),IF($A$2=6,SUMIFS('Pricelist AUD'!$L$3:$L$112,'Pricelist AUD'!$O$3:$O$112,'Calculator +1 tier'!$C42),IF($A$2=7,SUMIFS('Pricelist AUD'!$M$3:$M$112,'Pricelist AUD'!$O$3:$O$112,'Calculator +1 tier'!$C42),IF($A$2=8,SUMIFS('Pricelist AUD'!$N$3:$N$112,'Pricelist AUD'!$O$3:$O$112,'Calculator +1 tier'!$C42),"")))))))),"")</f>
        <v/>
      </c>
      <c r="F42" s="629" t="str">
        <f t="shared" si="1"/>
        <v/>
      </c>
    </row>
    <row r="43" spans="1:6" ht="15" customHeight="1">
      <c r="A43" s="722"/>
      <c r="B43" s="143"/>
      <c r="C43" s="57" t="str">
        <f>'Service-based'!C50</f>
        <v># Microsoft 365 Archiving Seats (with unlimited Acronis Hosted Cloud storage*)</v>
      </c>
      <c r="D43" s="156">
        <f>'Service-based'!E50</f>
        <v>0</v>
      </c>
      <c r="E43" s="626" t="str">
        <f>IF(D43&gt;0,IF($A$2=1,SUMIFS('Pricelist AUD'!$G$3:$G$112,'Pricelist AUD'!$O$3:$O$112,'Calculator +1 tier'!$C43,'Pricelist AUD'!$E$3:$E$112,$D$3),IF($A$2=2,SUMIFS('Pricelist AUD'!$H$3:$H$112,'Pricelist AUD'!$O$3:$O$112,'Calculator +1 tier'!$C43,'Pricelist AUD'!$E$3:$E$112,$D$3),IF($A$2=3,SUMIFS('Pricelist AUD'!$I$3:$I$112,'Pricelist AUD'!$O$3:$O$112,'Calculator +1 tier'!$C43,'Pricelist AUD'!$E$3:$E$112,$D$3),IF($A$2=4,SUMIFS('Pricelist AUD'!$J$3:$J$112,'Pricelist AUD'!$O$3:$O$112,'Calculator +1 tier'!$C43,'Pricelist AUD'!$E$3:$E$112,$D$3),IF($A$2=5,SUMIFS('Pricelist AUD'!$K$3:$K$112,'Pricelist AUD'!$O$3:$O$112,'Calculator +1 tier'!$C43,'Pricelist AUD'!$E$3:$E$112,$D$3),IF($A$2=6,SUMIFS('Pricelist AUD'!$L$3:$L$112,'Pricelist AUD'!$O$3:$O$112,'Calculator +1 tier'!$C43,'Pricelist AUD'!$E$3:$E$112,$D$3),IF($A$2=7,SUMIFS('Pricelist AUD'!$M$3:$M$112,'Pricelist AUD'!$O$3:$O$112,'Calculator +1 tier'!$C43,'Pricelist AUD'!$E$3:$E$112,$D$3),IF($A$2=8,SUMIFS('Pricelist AUD'!$N$3:$N$112,'Pricelist AUD'!$O$3:$O$112,'Calculator +1 tier'!$C43,'Pricelist AUD'!$E$3:$E$112,$D$3),"")))))))),"")</f>
        <v/>
      </c>
      <c r="F43" s="627" t="str">
        <f t="shared" si="1"/>
        <v/>
      </c>
    </row>
    <row r="44" spans="1:6" ht="15" customHeight="1">
      <c r="A44" s="722"/>
      <c r="B44" s="143"/>
      <c r="C44" s="161" t="str">
        <f>'Service-based'!C51</f>
        <v># Microsoft 365 Archiving Seats (for SP/Azure/Google Hosted storage)</v>
      </c>
      <c r="D44" s="155">
        <f>'Service-based'!E51</f>
        <v>0</v>
      </c>
      <c r="E44" s="626" t="str">
        <f>IF(D44&gt;0,IF($A$2=1,SUMIFS('Pricelist AUD'!$G$3:$G$112,'Pricelist AUD'!$O$3:$O$112,'Calculator +1 tier'!$C44),IF($A$2=2,SUMIFS('Pricelist AUD'!$H$3:$H$112,'Pricelist AUD'!$O$3:$O$112,'Calculator +1 tier'!$C44),IF($A$2=3,SUMIFS('Pricelist AUD'!$I$3:$I$112,'Pricelist AUD'!$O$3:$O$112,'Calculator +1 tier'!$C44),IF($A$2=4,SUMIFS('Pricelist AUD'!$J$3:$J$112,'Pricelist AUD'!$O$3:$O$112,'Calculator +1 tier'!$C44),IF($A$2=5,SUMIFS('Pricelist AUD'!$K$3:$K$112,'Pricelist AUD'!$O$3:$O$112,'Calculator +1 tier'!$C44),IF($A$2=6,SUMIFS('Pricelist AUD'!$L$3:$L$112,'Pricelist AUD'!$O$3:$O$112,'Calculator +1 tier'!$C44),IF($A$2=7,SUMIFS('Pricelist AUD'!$M$3:$M$112,'Pricelist AUD'!$O$3:$O$112,'Calculator +1 tier'!$C44),IF($A$2=8,SUMIFS('Pricelist AUD'!$N$3:$N$112,'Pricelist AUD'!$O$3:$O$112,'Calculator +1 tier'!$C44),"")))))))),"")</f>
        <v/>
      </c>
      <c r="F44" s="627" t="str">
        <f t="shared" si="1"/>
        <v/>
      </c>
    </row>
    <row r="45" spans="1:6" ht="15" customHeight="1">
      <c r="A45" s="722"/>
      <c r="B45" s="58"/>
      <c r="C45" s="164" t="str">
        <f>'Service-based'!C52</f>
        <v>Acronis Cloud Storage for Email Archiving at Azure/Google datacenters (for Per Workload model)</v>
      </c>
      <c r="D45" s="165">
        <f>'Service-based'!E52</f>
        <v>0</v>
      </c>
      <c r="E45" s="626" t="str">
        <f>IF(D45&gt;0,IF($A$2=1,SUMIFS('Pricelist AUD'!$G$3:$G$112,'Pricelist AUD'!$O$3:$O$112,'Calculator +1 tier'!$C45),IF($A$2=2,SUMIFS('Pricelist AUD'!$H$3:$H$112,'Pricelist AUD'!$O$3:$O$112,'Calculator +1 tier'!$C45),IF($A$2=3,SUMIFS('Pricelist AUD'!$I$3:$I$112,'Pricelist AUD'!$O$3:$O$112,'Calculator +1 tier'!$C45),IF($A$2=4,SUMIFS('Pricelist AUD'!$J$3:$J$112,'Pricelist AUD'!$O$3:$O$112,'Calculator +1 tier'!$C45),IF($A$2=5,SUMIFS('Pricelist AUD'!$K$3:$K$112,'Pricelist AUD'!$O$3:$O$112,'Calculator +1 tier'!$C45),IF($A$2=6,SUMIFS('Pricelist AUD'!$L$3:$L$112,'Pricelist AUD'!$O$3:$O$112,'Calculator +1 tier'!$C45),IF($A$2=7,SUMIFS('Pricelist AUD'!$M$3:$M$112,'Pricelist AUD'!$O$3:$O$112,'Calculator +1 tier'!$C45),IF($A$2=8,SUMIFS('Pricelist AUD'!$N$3:$N$112,'Pricelist AUD'!$O$3:$O$112,'Calculator +1 tier'!$C45),"")))))))),"")</f>
        <v/>
      </c>
      <c r="F45" s="627" t="str">
        <f t="shared" si="1"/>
        <v/>
      </c>
    </row>
    <row r="46" spans="1:6" ht="19.5" customHeight="1">
      <c r="A46" s="722"/>
      <c r="B46" s="833" t="s">
        <v>162</v>
      </c>
      <c r="C46" s="834"/>
      <c r="D46" s="166"/>
      <c r="E46" s="630"/>
      <c r="F46" s="631"/>
    </row>
    <row r="47" spans="1:6" ht="14.45" customHeight="1">
      <c r="A47" s="722"/>
      <c r="B47" s="824" t="s">
        <v>78</v>
      </c>
      <c r="C47" s="167" t="str">
        <f>'Service-based'!C31</f>
        <v>Acronis Cloud Storage at Acronis Datacenter (for Per GB model)</v>
      </c>
      <c r="D47" s="168">
        <f>'Service-based'!E31</f>
        <v>0</v>
      </c>
      <c r="E47" s="626" t="str">
        <f>IF(D47&gt;0,IF($A$2=1,SUMIFS('Pricelist AUD'!$G$3:$G$112,'Pricelist AUD'!$O$3:$O$112,'Calculator +1 tier'!$C47,'Pricelist AUD'!$E$3:$E$112,$D$3),IF($A$2=2,SUMIFS('Pricelist AUD'!$H$3:$H$112,'Pricelist AUD'!$O$3:$O$112,'Calculator +1 tier'!$C47,'Pricelist AUD'!$E$3:$E$112,$D$3),IF($A$2=3,SUMIFS('Pricelist AUD'!$I$3:$I$112,'Pricelist AUD'!$O$3:$O$112,'Calculator +1 tier'!$C47,'Pricelist AUD'!$E$3:$E$112,$D$3),IF($A$2=4,SUMIFS('Pricelist AUD'!$J$3:$J$112,'Pricelist AUD'!$O$3:$O$112,'Calculator +1 tier'!$C47,'Pricelist AUD'!$E$3:$E$112,$D$3),IF($A$2=5,SUMIFS('Pricelist AUD'!$K$3:$K$112,'Pricelist AUD'!$O$3:$O$112,'Calculator +1 tier'!$C47,'Pricelist AUD'!$E$3:$E$112,$D$3),IF($A$2=6,SUMIFS('Pricelist AUD'!$L$3:$L$112,'Pricelist AUD'!$O$3:$O$112,'Calculator +1 tier'!$C47,'Pricelist AUD'!$E$3:$E$112,$D$3),IF($A$2=7,SUMIFS('Pricelist AUD'!$M$3:$M$112,'Pricelist AUD'!$O$3:$O$112,'Calculator +1 tier'!$C47,'Pricelist AUD'!$E$3:$E$112,$D$3),IF($A$2=8,SUMIFS('Pricelist AUD'!$N$3:$N$112,'Pricelist AUD'!$O$3:$O$112,'Calculator +1 tier'!$C47,'Pricelist AUD'!$E$3:$E$112,$D$3),"")))))))),"")</f>
        <v/>
      </c>
      <c r="F47" s="632" t="str">
        <f t="shared" ref="F47:F57" si="2">IFERROR(D47*E47,"")</f>
        <v/>
      </c>
    </row>
    <row r="48" spans="1:6" ht="14.45" customHeight="1">
      <c r="A48" s="722"/>
      <c r="B48" s="817"/>
      <c r="C48" s="57" t="str">
        <f>'Service-based'!C32</f>
        <v>Acronis Cloud Storage at Azure/Google datacenters (for Per GB model)</v>
      </c>
      <c r="D48" s="157">
        <f>'Service-based'!E32</f>
        <v>0</v>
      </c>
      <c r="E48" s="626" t="str">
        <f>IF(D48&gt;0,IF($A$2=1,SUMIFS('Pricelist AUD'!$G$3:$G$112,'Pricelist AUD'!$O$3:$O$112,'Calculator +1 tier'!$C48),IF($A$2=2,SUMIFS('Pricelist AUD'!$H$3:$H$112,'Pricelist AUD'!$O$3:$O$112,'Calculator +1 tier'!$C48),IF($A$2=3,SUMIFS('Pricelist AUD'!$I$3:$I$112,'Pricelist AUD'!$O$3:$O$112,'Calculator +1 tier'!$C48),IF($A$2=4,SUMIFS('Pricelist AUD'!$J$3:$J$112,'Pricelist AUD'!$O$3:$O$112,'Calculator +1 tier'!$C48),IF($A$2=5,SUMIFS('Pricelist AUD'!$K$3:$K$112,'Pricelist AUD'!$O$3:$O$112,'Calculator +1 tier'!$C48),IF($A$2=6,SUMIFS('Pricelist AUD'!$L$3:$L$112,'Pricelist AUD'!$O$3:$O$112,'Calculator +1 tier'!$C48),IF($A$2=7,SUMIFS('Pricelist AUD'!$M$3:$M$112,'Pricelist AUD'!$O$3:$O$112,'Calculator +1 tier'!$C48),IF($A$2=8,SUMIFS('Pricelist AUD'!$N$3:$N$112,'Pricelist AUD'!$O$3:$O$112,'Calculator +1 tier'!$C48),"")))))))),"")</f>
        <v/>
      </c>
      <c r="F48" s="628" t="str">
        <f t="shared" si="2"/>
        <v/>
      </c>
    </row>
    <row r="49" spans="1:6" ht="14.45" customHeight="1">
      <c r="A49" s="722"/>
      <c r="B49" s="817"/>
      <c r="C49" s="169" t="str">
        <f>'Service-based'!C33</f>
        <v>Cloud - Service Provider Hosted Storage</v>
      </c>
      <c r="D49" s="158">
        <f>'Service-based'!E33</f>
        <v>0</v>
      </c>
      <c r="E49" s="626" t="str">
        <f>IF(D49&gt;0,IF($A$2=1,SUMIFS('Pricelist AUD'!$G$3:$G$112,'Pricelist AUD'!$O$3:$O$112,'Calculator +1 tier'!$C49),IF($A$2=2,SUMIFS('Pricelist AUD'!$H$3:$H$112,'Pricelist AUD'!$O$3:$O$112,'Calculator +1 tier'!$C49),IF($A$2=3,SUMIFS('Pricelist AUD'!$I$3:$I$112,'Pricelist AUD'!$O$3:$O$112,'Calculator +1 tier'!$C49),IF($A$2=4,SUMIFS('Pricelist AUD'!$J$3:$J$112,'Pricelist AUD'!$O$3:$O$112,'Calculator +1 tier'!$C49),IF($A$2=5,SUMIFS('Pricelist AUD'!$K$3:$K$112,'Pricelist AUD'!$O$3:$O$112,'Calculator +1 tier'!$C49),IF($A$2=6,SUMIFS('Pricelist AUD'!$L$3:$L$112,'Pricelist AUD'!$O$3:$O$112,'Calculator +1 tier'!$C49),IF($A$2=7,SUMIFS('Pricelist AUD'!$M$3:$M$112,'Pricelist AUD'!$O$3:$O$112,'Calculator +1 tier'!$C49),IF($A$2=8,SUMIFS('Pricelist AUD'!$N$3:$N$112,'Pricelist AUD'!$O$3:$O$112,'Calculator +1 tier'!$C49),"")))))))),"")</f>
        <v/>
      </c>
      <c r="F49" s="632" t="str">
        <f t="shared" si="2"/>
        <v/>
      </c>
    </row>
    <row r="50" spans="1:6" ht="14.45" customHeight="1">
      <c r="A50" s="722"/>
      <c r="B50" s="817"/>
      <c r="C50" s="57" t="str">
        <f>'Service-based'!C34</f>
        <v>Customer Storage</v>
      </c>
      <c r="D50" s="157">
        <f>'Service-based'!E34</f>
        <v>0</v>
      </c>
      <c r="E50" s="626" t="str">
        <f>IF(D50&gt;0,IF($A$2=1,SUMIFS('Pricelist AUD'!$G$3:$G$112,'Pricelist AUD'!$O$3:$O$112,'Calculator +1 tier'!$C50),IF($A$2=2,SUMIFS('Pricelist AUD'!$H$3:$H$112,'Pricelist AUD'!$O$3:$O$112,'Calculator +1 tier'!$C50),IF($A$2=3,SUMIFS('Pricelist AUD'!$I$3:$I$112,'Pricelist AUD'!$O$3:$O$112,'Calculator +1 tier'!$C50),IF($A$2=4,SUMIFS('Pricelist AUD'!$J$3:$J$112,'Pricelist AUD'!$O$3:$O$112,'Calculator +1 tier'!$C50),IF($A$2=5,SUMIFS('Pricelist AUD'!$K$3:$K$112,'Pricelist AUD'!$O$3:$O$112,'Calculator +1 tier'!$C50),IF($A$2=6,SUMIFS('Pricelist AUD'!$L$3:$L$112,'Pricelist AUD'!$O$3:$O$112,'Calculator +1 tier'!$C50),IF($A$2=7,SUMIFS('Pricelist AUD'!$M$3:$M$112,'Pricelist AUD'!$O$3:$O$112,'Calculator +1 tier'!$C50),IF($A$2=8,SUMIFS('Pricelist AUD'!$N$3:$N$112,'Pricelist AUD'!$O$3:$O$112,'Calculator +1 tier'!$C50),"")))))))),"")</f>
        <v/>
      </c>
      <c r="F50" s="633" t="str">
        <f t="shared" si="2"/>
        <v/>
      </c>
    </row>
    <row r="51" spans="1:6" ht="14.45" customHeight="1">
      <c r="A51" s="722"/>
      <c r="B51" s="145"/>
      <c r="C51" s="169" t="str">
        <f>'Service-based'!C53</f>
        <v>Acronis Cloud Storage for Email Archiving at Acronis Datacenter (for Per GB model)</v>
      </c>
      <c r="D51" s="158">
        <f>'Service-based'!E53</f>
        <v>0</v>
      </c>
      <c r="E51" s="626" t="str">
        <f>IF(D51&gt;0,IF($A$2=1,SUMIFS('Pricelist AUD'!$G$3:$G$112,'Pricelist AUD'!$O$3:$O$112,'Calculator +1 tier'!$C51,'Pricelist AUD'!$E$3:$E$112,$D$3),IF($A$2=2,SUMIFS('Pricelist AUD'!$H$3:$H$112,'Pricelist AUD'!$O$3:$O$112,'Calculator +1 tier'!$C51,'Pricelist AUD'!$E$3:$E$112,$D$3),IF($A$2=3,SUMIFS('Pricelist AUD'!$I$3:$I$112,'Pricelist AUD'!$O$3:$O$112,'Calculator +1 tier'!$C51,'Pricelist AUD'!$E$3:$E$112,$D$3),IF($A$2=4,SUMIFS('Pricelist AUD'!$J$3:$J$112,'Pricelist AUD'!$O$3:$O$112,'Calculator +1 tier'!$C51,'Pricelist AUD'!$E$3:$E$112,$D$3),IF($A$2=5,SUMIFS('Pricelist AUD'!$K$3:$K$112,'Pricelist AUD'!$O$3:$O$112,'Calculator +1 tier'!$C51,'Pricelist AUD'!$E$3:$E$112,$D$3),IF($A$2=6,SUMIFS('Pricelist AUD'!$L$3:$L$112,'Pricelist AUD'!$O$3:$O$112,'Calculator +1 tier'!$C51,'Pricelist AUD'!$E$3:$E$112,$D$3),IF($A$2=7,SUMIFS('Pricelist AUD'!$M$3:$M$112,'Pricelist AUD'!$O$3:$O$112,'Calculator +1 tier'!$C51,'Pricelist AUD'!$E$3:$E$112,$D$3),IF($A$2=8,SUMIFS('Pricelist AUD'!$N$3:$N$112,'Pricelist AUD'!$O$3:$O$112,'Calculator +1 tier'!$C51,'Pricelist AUD'!$E$3:$E$112,$D$3),"")))))))),"")</f>
        <v/>
      </c>
      <c r="F51" s="633" t="str">
        <f t="shared" si="2"/>
        <v/>
      </c>
    </row>
    <row r="52" spans="1:6" ht="14.45" customHeight="1">
      <c r="A52" s="722"/>
      <c r="B52" s="145"/>
      <c r="C52" s="57" t="str">
        <f>'Service-based'!C54</f>
        <v>Email Archiving Cloud Storage  - Service Provider Hosted</v>
      </c>
      <c r="D52" s="157">
        <f>'Service-based'!E54</f>
        <v>0</v>
      </c>
      <c r="E52" s="626" t="str">
        <f>IF(D52&gt;0,IF($A$2=1,SUMIFS('Pricelist AUD'!$G$3:$G$112,'Pricelist AUD'!$O$3:$O$112,'Calculator +1 tier'!$C52),IF($A$2=2,SUMIFS('Pricelist AUD'!$H$3:$H$112,'Pricelist AUD'!$O$3:$O$112,'Calculator +1 tier'!$C52),IF($A$2=3,SUMIFS('Pricelist AUD'!$I$3:$I$112,'Pricelist AUD'!$O$3:$O$112,'Calculator +1 tier'!$C52),IF($A$2=4,SUMIFS('Pricelist AUD'!$J$3:$J$112,'Pricelist AUD'!$O$3:$O$112,'Calculator +1 tier'!$C52),IF($A$2=5,SUMIFS('Pricelist AUD'!$K$3:$K$112,'Pricelist AUD'!$O$3:$O$112,'Calculator +1 tier'!$C52),IF($A$2=6,SUMIFS('Pricelist AUD'!$L$3:$L$112,'Pricelist AUD'!$O$3:$O$112,'Calculator +1 tier'!$C52),IF($A$2=7,SUMIFS('Pricelist AUD'!$M$3:$M$112,'Pricelist AUD'!$O$3:$O$112,'Calculator +1 tier'!$C52),IF($A$2=8,SUMIFS('Pricelist AUD'!$N$3:$N$112,'Pricelist AUD'!$O$3:$O$112,'Calculator +1 tier'!$C52),"")))))))),"")</f>
        <v/>
      </c>
      <c r="F52" s="633" t="str">
        <f t="shared" si="2"/>
        <v/>
      </c>
    </row>
    <row r="53" spans="1:6" ht="15" customHeight="1">
      <c r="A53" s="722"/>
      <c r="B53" s="146"/>
      <c r="C53" s="170" t="str">
        <f>'Service-based'!C55</f>
        <v>Acronis Cloud Storage for Email Archiving at Azure/Google datacenters (for Per GB model)</v>
      </c>
      <c r="D53" s="171">
        <f>'Service-based'!E55</f>
        <v>0</v>
      </c>
      <c r="E53" s="626" t="str">
        <f>IF(D53&gt;0,IF($A$2=1,SUMIFS('Pricelist AUD'!$G$3:$G$112,'Pricelist AUD'!$O$3:$O$112,'Calculator +1 tier'!$C53),IF($A$2=2,SUMIFS('Pricelist AUD'!$H$3:$H$112,'Pricelist AUD'!$O$3:$O$112,'Calculator +1 tier'!$C53),IF($A$2=3,SUMIFS('Pricelist AUD'!$I$3:$I$112,'Pricelist AUD'!$O$3:$O$112,'Calculator +1 tier'!$C53),IF($A$2=4,SUMIFS('Pricelist AUD'!$J$3:$J$112,'Pricelist AUD'!$O$3:$O$112,'Calculator +1 tier'!$C53),IF($A$2=5,SUMIFS('Pricelist AUD'!$K$3:$K$112,'Pricelist AUD'!$O$3:$O$112,'Calculator +1 tier'!$C53),IF($A$2=6,SUMIFS('Pricelist AUD'!$L$3:$L$112,'Pricelist AUD'!$O$3:$O$112,'Calculator +1 tier'!$C53),IF($A$2=7,SUMIFS('Pricelist AUD'!$M$3:$M$112,'Pricelist AUD'!$O$3:$O$112,'Calculator +1 tier'!$C53),IF($A$2=8,SUMIFS('Pricelist AUD'!$N$3:$N$112,'Pricelist AUD'!$O$3:$O$112,'Calculator +1 tier'!$C53),"")))))))),"")</f>
        <v/>
      </c>
      <c r="F53" s="633" t="str">
        <f t="shared" si="2"/>
        <v/>
      </c>
    </row>
    <row r="54" spans="1:6" ht="15" customHeight="1">
      <c r="A54" s="722"/>
      <c r="B54" s="145" t="s">
        <v>163</v>
      </c>
      <c r="C54" s="284" t="str">
        <f>'Service-based'!C35</f>
        <v>Microsoft 365 Backup Storage powered by Microsoft (per GB, for both per GB and per workload models)</v>
      </c>
      <c r="D54" s="25">
        <f>'Service-based'!E35</f>
        <v>0</v>
      </c>
      <c r="E54" s="626" t="str">
        <f>IF(D54&gt;0,IF($A$2=1,SUMIFS('Pricelist AUD'!$G$3:$G$112,'Pricelist AUD'!$O$3:$O$112,'Calculator +1 tier'!$C54),IF($A$2=2,SUMIFS('Pricelist AUD'!$H$3:$H$112,'Pricelist AUD'!$O$3:$O$112,'Calculator +1 tier'!$C54),IF($A$2=3,SUMIFS('Pricelist AUD'!$I$3:$I$112,'Pricelist AUD'!$O$3:$O$112,'Calculator +1 tier'!$C54),IF($A$2=4,SUMIFS('Pricelist AUD'!$J$3:$J$112,'Pricelist AUD'!$O$3:$O$112,'Calculator +1 tier'!$C54),IF($A$2=5,SUMIFS('Pricelist AUD'!$K$3:$K$112,'Pricelist AUD'!$O$3:$O$112,'Calculator +1 tier'!$C54),IF($A$2=6,SUMIFS('Pricelist AUD'!$L$3:$L$112,'Pricelist AUD'!$O$3:$O$112,'Calculator +1 tier'!$C54),IF($A$2=7,SUMIFS('Pricelist AUD'!$M$3:$M$112,'Pricelist AUD'!$O$3:$O$112,'Calculator +1 tier'!$C54),IF($A$2=8,SUMIFS('Pricelist AUD'!$N$3:$N$112,'Pricelist AUD'!$O$3:$O$112,'Calculator +1 tier'!$C54),"")))))))),"")</f>
        <v/>
      </c>
      <c r="F54" s="633" t="str">
        <f t="shared" si="2"/>
        <v/>
      </c>
    </row>
    <row r="55" spans="1:6" ht="15" customHeight="1">
      <c r="A55" s="722"/>
      <c r="B55" s="824" t="s">
        <v>37</v>
      </c>
      <c r="C55" s="9" t="str">
        <f>'Service-based'!C36</f>
        <v>Per GB/Workload model - Backup Geo-redundant - Acronis Hosted Storage</v>
      </c>
      <c r="D55" s="27">
        <f>'Service-based'!E36</f>
        <v>0</v>
      </c>
      <c r="E55" s="626" t="str">
        <f>IF(D55&gt;0,IF($A$2=1,SUMIFS('Pricelist AUD'!$G$3:$G$112,'Pricelist AUD'!$O$3:$O$112,'Calculator +1 tier'!$C55),IF($A$2=2,SUMIFS('Pricelist AUD'!$H$3:$H$112,'Pricelist AUD'!$O$3:$O$112,'Calculator +1 tier'!$C55),IF($A$2=3,SUMIFS('Pricelist AUD'!$I$3:$I$112,'Pricelist AUD'!$O$3:$O$112,'Calculator +1 tier'!$C55),IF($A$2=4,SUMIFS('Pricelist AUD'!$J$3:$J$112,'Pricelist AUD'!$O$3:$O$112,'Calculator +1 tier'!$C55),IF($A$2=5,SUMIFS('Pricelist AUD'!$K$3:$K$112,'Pricelist AUD'!$O$3:$O$112,'Calculator +1 tier'!$C55),IF($A$2=6,SUMIFS('Pricelist AUD'!$L$3:$L$112,'Pricelist AUD'!$O$3:$O$112,'Calculator +1 tier'!$C55),IF($A$2=7,SUMIFS('Pricelist AUD'!$M$3:$M$112,'Pricelist AUD'!$O$3:$O$112,'Calculator +1 tier'!$C55),IF($A$2=8,SUMIFS('Pricelist AUD'!$N$3:$N$112,'Pricelist AUD'!$O$3:$O$112,'Calculator +1 tier'!$C55),"")))))))),"")</f>
        <v/>
      </c>
      <c r="F55" s="628" t="str">
        <f t="shared" si="2"/>
        <v/>
      </c>
    </row>
    <row r="56" spans="1:6" ht="15" customHeight="1">
      <c r="A56" s="722"/>
      <c r="B56" s="817"/>
      <c r="C56" s="12" t="str">
        <f>'Service-based'!C37</f>
        <v>Per Workload model - # Geo-redundant Microsoft 365 seat (unlimited Acronis Hosted Cloud Storage included*)</v>
      </c>
      <c r="D56" s="24">
        <f>'Service-based'!E37</f>
        <v>0</v>
      </c>
      <c r="E56" s="626" t="str">
        <f>IF(D56&gt;0,IF($A$2=1,SUMIFS('Pricelist AUD'!$G$3:$G$112,'Pricelist AUD'!$O$3:$O$112,'Calculator +1 tier'!$C56),IF($A$2=2,SUMIFS('Pricelist AUD'!$H$3:$H$112,'Pricelist AUD'!$O$3:$O$112,'Calculator +1 tier'!$C56),IF($A$2=3,SUMIFS('Pricelist AUD'!$I$3:$I$112,'Pricelist AUD'!$O$3:$O$112,'Calculator +1 tier'!$C56),IF($A$2=4,SUMIFS('Pricelist AUD'!$J$3:$J$112,'Pricelist AUD'!$O$3:$O$112,'Calculator +1 tier'!$C56),IF($A$2=5,SUMIFS('Pricelist AUD'!$K$3:$K$112,'Pricelist AUD'!$O$3:$O$112,'Calculator +1 tier'!$C56),IF($A$2=6,SUMIFS('Pricelist AUD'!$L$3:$L$112,'Pricelist AUD'!$O$3:$O$112,'Calculator +1 tier'!$C56),IF($A$2=7,SUMIFS('Pricelist AUD'!$M$3:$M$112,'Pricelist AUD'!$O$3:$O$112,'Calculator +1 tier'!$C56),IF($A$2=8,SUMIFS('Pricelist AUD'!$N$3:$N$112,'Pricelist AUD'!$O$3:$O$112,'Calculator +1 tier'!$C56),"")))))))),"")</f>
        <v/>
      </c>
      <c r="F56" s="628" t="str">
        <f t="shared" si="2"/>
        <v/>
      </c>
    </row>
    <row r="57" spans="1:6" ht="15" customHeight="1">
      <c r="A57" s="722"/>
      <c r="B57" s="832"/>
      <c r="C57" s="9" t="str">
        <f>'Service-based'!C38</f>
        <v>Per Workload model - # Geo-redundant Google Workspace seat (unlimited Acronis Hosted Cloud Storage included*)</v>
      </c>
      <c r="D57" s="23">
        <f>'Service-based'!E38</f>
        <v>0</v>
      </c>
      <c r="E57" s="626" t="str">
        <f>IF(D57&gt;0,IF($A$2=1,SUMIFS('Pricelist AUD'!$G$3:$G$112,'Pricelist AUD'!$O$3:$O$112,'Calculator +1 tier'!$C57),IF($A$2=2,SUMIFS('Pricelist AUD'!$H$3:$H$112,'Pricelist AUD'!$O$3:$O$112,'Calculator +1 tier'!$C57),IF($A$2=3,SUMIFS('Pricelist AUD'!$I$3:$I$112,'Pricelist AUD'!$O$3:$O$112,'Calculator +1 tier'!$C57),IF($A$2=4,SUMIFS('Pricelist AUD'!$J$3:$J$112,'Pricelist AUD'!$O$3:$O$112,'Calculator +1 tier'!$C57),IF($A$2=5,SUMIFS('Pricelist AUD'!$K$3:$K$112,'Pricelist AUD'!$O$3:$O$112,'Calculator +1 tier'!$C57),IF($A$2=6,SUMIFS('Pricelist AUD'!$L$3:$L$112,'Pricelist AUD'!$O$3:$O$112,'Calculator +1 tier'!$C57),IF($A$2=7,SUMIFS('Pricelist AUD'!$M$3:$M$112,'Pricelist AUD'!$O$3:$O$112,'Calculator +1 tier'!$C57),IF($A$2=8,SUMIFS('Pricelist AUD'!$N$3:$N$112,'Pricelist AUD'!$O$3:$O$112,'Calculator +1 tier'!$C57),"")))))))),"")</f>
        <v/>
      </c>
      <c r="F57" s="628" t="str">
        <f t="shared" si="2"/>
        <v/>
      </c>
    </row>
    <row r="58" spans="1:6" ht="17.45" customHeight="1">
      <c r="A58" s="22"/>
      <c r="B58" s="805" t="s">
        <v>164</v>
      </c>
      <c r="C58" s="806"/>
      <c r="D58" s="29"/>
      <c r="E58" s="634"/>
      <c r="F58" s="635"/>
    </row>
    <row r="59" spans="1:6" ht="15" customHeight="1">
      <c r="A59" s="798" t="s">
        <v>165</v>
      </c>
      <c r="B59" s="800" t="s">
        <v>89</v>
      </c>
      <c r="C59" s="9" t="str">
        <f>'Service-based'!C39</f>
        <v># Advanced Backup Physical Servers</v>
      </c>
      <c r="D59" s="23">
        <f>'Service-based'!E39</f>
        <v>0</v>
      </c>
      <c r="E59" s="626" t="str">
        <f>IF(D59&gt;0,IF($A$2=1,SUMIFS('Pricelist AUD'!$G$3:$G$112,'Pricelist AUD'!$O$3:$O$112,'Calculator +1 tier'!$C59),IF($A$2=2,SUMIFS('Pricelist AUD'!$H$3:$H$112,'Pricelist AUD'!$O$3:$O$112,'Calculator +1 tier'!$C59),IF($A$2=3,SUMIFS('Pricelist AUD'!$I$3:$I$112,'Pricelist AUD'!$O$3:$O$112,'Calculator +1 tier'!$C59),IF($A$2=4,SUMIFS('Pricelist AUD'!$J$3:$J$112,'Pricelist AUD'!$O$3:$O$112,'Calculator +1 tier'!$C59),IF($A$2=5,SUMIFS('Pricelist AUD'!$K$3:$K$112,'Pricelist AUD'!$O$3:$O$112,'Calculator +1 tier'!$C59),IF($A$2=6,SUMIFS('Pricelist AUD'!$L$3:$L$112,'Pricelist AUD'!$O$3:$O$112,'Calculator +1 tier'!$C59),IF($A$2=7,SUMIFS('Pricelist AUD'!$M$3:$M$112,'Pricelist AUD'!$O$3:$O$112,'Calculator +1 tier'!$C59),IF($A$2=8,SUMIFS('Pricelist AUD'!$N$3:$N$112,'Pricelist AUD'!$O$3:$O$112,'Calculator +1 tier'!$C59),"")))))))),"")</f>
        <v/>
      </c>
      <c r="F59" s="636" t="str">
        <f t="shared" ref="F59:F82" si="3">IFERROR(D59*E59,"")</f>
        <v/>
      </c>
    </row>
    <row r="60" spans="1:6" ht="14.45" customHeight="1">
      <c r="A60" s="798"/>
      <c r="B60" s="800"/>
      <c r="C60" s="12" t="str">
        <f>'Service-based'!C40</f>
        <v># Advanced Backup Virtual Machines</v>
      </c>
      <c r="D60" s="24">
        <f>'Service-based'!E40</f>
        <v>0</v>
      </c>
      <c r="E60" s="626" t="str">
        <f>IF(D60&gt;0,IF($A$2=1,SUMIFS('Pricelist AUD'!$G$3:$G$112,'Pricelist AUD'!$O$3:$O$112,'Calculator +1 tier'!$C60),IF($A$2=2,SUMIFS('Pricelist AUD'!$H$3:$H$112,'Pricelist AUD'!$O$3:$O$112,'Calculator +1 tier'!$C60),IF($A$2=3,SUMIFS('Pricelist AUD'!$I$3:$I$112,'Pricelist AUD'!$O$3:$O$112,'Calculator +1 tier'!$C60),IF($A$2=4,SUMIFS('Pricelist AUD'!$J$3:$J$112,'Pricelist AUD'!$O$3:$O$112,'Calculator +1 tier'!$C60),IF($A$2=5,SUMIFS('Pricelist AUD'!$K$3:$K$112,'Pricelist AUD'!$O$3:$O$112,'Calculator +1 tier'!$C60),IF($A$2=6,SUMIFS('Pricelist AUD'!$L$3:$L$112,'Pricelist AUD'!$O$3:$O$112,'Calculator +1 tier'!$C60),IF($A$2=7,SUMIFS('Pricelist AUD'!$M$3:$M$112,'Pricelist AUD'!$O$3:$O$112,'Calculator +1 tier'!$C60),IF($A$2=8,SUMIFS('Pricelist AUD'!$N$3:$N$112,'Pricelist AUD'!$O$3:$O$112,'Calculator +1 tier'!$C60),"")))))))),"")</f>
        <v/>
      </c>
      <c r="F60" s="637" t="str">
        <f t="shared" si="3"/>
        <v/>
      </c>
    </row>
    <row r="61" spans="1:6" ht="14.45" customHeight="1">
      <c r="A61" s="798"/>
      <c r="B61" s="800"/>
      <c r="C61" s="9" t="str">
        <f>'Service-based'!C41</f>
        <v># Advanced Backup Workstations</v>
      </c>
      <c r="D61" s="23">
        <f>'Service-based'!E41</f>
        <v>0</v>
      </c>
      <c r="E61" s="626" t="str">
        <f>IF(D61&gt;0,IF($A$2=1,SUMIFS('Pricelist AUD'!$G$3:$G$112,'Pricelist AUD'!$O$3:$O$112,'Calculator +1 tier'!$C61),IF($A$2=2,SUMIFS('Pricelist AUD'!$H$3:$H$112,'Pricelist AUD'!$O$3:$O$112,'Calculator +1 tier'!$C61),IF($A$2=3,SUMIFS('Pricelist AUD'!$I$3:$I$112,'Pricelist AUD'!$O$3:$O$112,'Calculator +1 tier'!$C61),IF($A$2=4,SUMIFS('Pricelist AUD'!$J$3:$J$112,'Pricelist AUD'!$O$3:$O$112,'Calculator +1 tier'!$C61),IF($A$2=5,SUMIFS('Pricelist AUD'!$K$3:$K$112,'Pricelist AUD'!$O$3:$O$112,'Calculator +1 tier'!$C61),IF($A$2=6,SUMIFS('Pricelist AUD'!$L$3:$L$112,'Pricelist AUD'!$O$3:$O$112,'Calculator +1 tier'!$C61),IF($A$2=7,SUMIFS('Pricelist AUD'!$M$3:$M$112,'Pricelist AUD'!$O$3:$O$112,'Calculator +1 tier'!$C61),IF($A$2=8,SUMIFS('Pricelist AUD'!$N$3:$N$112,'Pricelist AUD'!$O$3:$O$112,'Calculator +1 tier'!$C61),"")))))))),"")</f>
        <v/>
      </c>
      <c r="F61" s="636" t="str">
        <f t="shared" si="3"/>
        <v/>
      </c>
    </row>
    <row r="62" spans="1:6" ht="15" customHeight="1">
      <c r="A62" s="798"/>
      <c r="B62" s="800"/>
      <c r="C62" s="12" t="str">
        <f>'Service-based'!C42</f>
        <v># Advanced Backup Hosting Servers</v>
      </c>
      <c r="D62" s="24">
        <f>'Service-based'!E42</f>
        <v>0</v>
      </c>
      <c r="E62" s="626" t="str">
        <f>IF(D62&gt;0,IF($A$2=1,SUMIFS('Pricelist AUD'!$G$3:$G$112,'Pricelist AUD'!$O$3:$O$112,'Calculator +1 tier'!$C62),IF($A$2=2,SUMIFS('Pricelist AUD'!$H$3:$H$112,'Pricelist AUD'!$O$3:$O$112,'Calculator +1 tier'!$C62),IF($A$2=3,SUMIFS('Pricelist AUD'!$I$3:$I$112,'Pricelist AUD'!$O$3:$O$112,'Calculator +1 tier'!$C62),IF($A$2=4,SUMIFS('Pricelist AUD'!$J$3:$J$112,'Pricelist AUD'!$O$3:$O$112,'Calculator +1 tier'!$C62),IF($A$2=5,SUMIFS('Pricelist AUD'!$K$3:$K$112,'Pricelist AUD'!$O$3:$O$112,'Calculator +1 tier'!$C62),IF($A$2=6,SUMIFS('Pricelist AUD'!$L$3:$L$112,'Pricelist AUD'!$O$3:$O$112,'Calculator +1 tier'!$C62),IF($A$2=7,SUMIFS('Pricelist AUD'!$M$3:$M$112,'Pricelist AUD'!$O$3:$O$112,'Calculator +1 tier'!$C62),IF($A$2=8,SUMIFS('Pricelist AUD'!$N$3:$N$112,'Pricelist AUD'!$O$3:$O$112,'Calculator +1 tier'!$C62),"")))))))),"")</f>
        <v/>
      </c>
      <c r="F62" s="637" t="str">
        <f t="shared" si="3"/>
        <v/>
      </c>
    </row>
    <row r="63" spans="1:6" ht="15" customHeight="1">
      <c r="A63" s="798"/>
      <c r="B63" s="800"/>
      <c r="C63" s="9" t="str">
        <f>'Service-based'!C43</f>
        <v># Advanced Backup Microsoft 365 seats</v>
      </c>
      <c r="D63" s="23">
        <f>'Service-based'!E43</f>
        <v>0</v>
      </c>
      <c r="E63" s="626" t="str">
        <f>IF(D63&gt;0,IF($A$2=1,SUMIFS('Pricelist AUD'!$G$3:$G$112,'Pricelist AUD'!$O$3:$O$112,'Calculator +1 tier'!$C63),IF($A$2=2,SUMIFS('Pricelist AUD'!$H$3:$H$112,'Pricelist AUD'!$O$3:$O$112,'Calculator +1 tier'!$C63),IF($A$2=3,SUMIFS('Pricelist AUD'!$I$3:$I$112,'Pricelist AUD'!$O$3:$O$112,'Calculator +1 tier'!$C63),IF($A$2=4,SUMIFS('Pricelist AUD'!$J$3:$J$112,'Pricelist AUD'!$O$3:$O$112,'Calculator +1 tier'!$C63),IF($A$2=5,SUMIFS('Pricelist AUD'!$K$3:$K$112,'Pricelist AUD'!$O$3:$O$112,'Calculator +1 tier'!$C63),IF($A$2=6,SUMIFS('Pricelist AUD'!$L$3:$L$112,'Pricelist AUD'!$O$3:$O$112,'Calculator +1 tier'!$C63),IF($A$2=7,SUMIFS('Pricelist AUD'!$M$3:$M$112,'Pricelist AUD'!$O$3:$O$112,'Calculator +1 tier'!$C63),IF($A$2=8,SUMIFS('Pricelist AUD'!$N$3:$N$112,'Pricelist AUD'!$O$3:$O$112,'Calculator +1 tier'!$C63),"")))))))),"")</f>
        <v/>
      </c>
      <c r="F63" s="636" t="str">
        <f t="shared" si="3"/>
        <v/>
      </c>
    </row>
    <row r="64" spans="1:6" ht="15" customHeight="1">
      <c r="A64" s="798"/>
      <c r="B64" s="811"/>
      <c r="C64" s="113" t="str">
        <f>'Service-based'!C44</f>
        <v># Advanced Backup Google Workspace seats</v>
      </c>
      <c r="D64" s="30">
        <f>'Service-based'!E44</f>
        <v>0</v>
      </c>
      <c r="E64" s="626" t="str">
        <f>IF(D64&gt;0,IF($A$2=1,SUMIFS('Pricelist AUD'!$G$3:$G$112,'Pricelist AUD'!$O$3:$O$112,'Calculator +1 tier'!$C64),IF($A$2=2,SUMIFS('Pricelist AUD'!$H$3:$H$112,'Pricelist AUD'!$O$3:$O$112,'Calculator +1 tier'!$C64),IF($A$2=3,SUMIFS('Pricelist AUD'!$I$3:$I$112,'Pricelist AUD'!$O$3:$O$112,'Calculator +1 tier'!$C64),IF($A$2=4,SUMIFS('Pricelist AUD'!$J$3:$J$112,'Pricelist AUD'!$O$3:$O$112,'Calculator +1 tier'!$C64),IF($A$2=5,SUMIFS('Pricelist AUD'!$K$3:$K$112,'Pricelist AUD'!$O$3:$O$112,'Calculator +1 tier'!$C64),IF($A$2=6,SUMIFS('Pricelist AUD'!$L$3:$L$112,'Pricelist AUD'!$O$3:$O$112,'Calculator +1 tier'!$C64),IF($A$2=7,SUMIFS('Pricelist AUD'!$M$3:$M$112,'Pricelist AUD'!$O$3:$O$112,'Calculator +1 tier'!$C64),IF($A$2=8,SUMIFS('Pricelist AUD'!$N$3:$N$112,'Pricelist AUD'!$O$3:$O$112,'Calculator +1 tier'!$C64),"")))))))),"")</f>
        <v/>
      </c>
      <c r="F64" s="638" t="str">
        <f t="shared" si="3"/>
        <v/>
      </c>
    </row>
    <row r="65" spans="1:6" ht="14.45" customHeight="1">
      <c r="A65" s="798"/>
      <c r="B65" s="143" t="s">
        <v>166</v>
      </c>
      <c r="C65" s="15" t="str">
        <f>'Service-based'!C15</f>
        <v># Remote Monitoring and Management (RMM) Workloads (Servers, VMs, Workstations, Hosting Servers)</v>
      </c>
      <c r="D65" s="31">
        <f>'Service-based'!E15</f>
        <v>0</v>
      </c>
      <c r="E65" s="626" t="str">
        <f>IF(D65&gt;0,IF($A$2=1,SUMIFS('Pricelist AUD'!$G$3:$G$112,'Pricelist AUD'!$O$3:$O$112,'Calculator +1 tier'!$C65),IF($A$2=2,SUMIFS('Pricelist AUD'!$H$3:$H$112,'Pricelist AUD'!$O$3:$O$112,'Calculator +1 tier'!$C65),IF($A$2=3,SUMIFS('Pricelist AUD'!$I$3:$I$112,'Pricelist AUD'!$O$3:$O$112,'Calculator +1 tier'!$C65),IF($A$2=4,SUMIFS('Pricelist AUD'!$J$3:$J$112,'Pricelist AUD'!$O$3:$O$112,'Calculator +1 tier'!$C65),IF($A$2=5,SUMIFS('Pricelist AUD'!$K$3:$K$112,'Pricelist AUD'!$O$3:$O$112,'Calculator +1 tier'!$C65),IF($A$2=6,SUMIFS('Pricelist AUD'!$L$3:$L$112,'Pricelist AUD'!$O$3:$O$112,'Calculator +1 tier'!$C65),IF($A$2=7,SUMIFS('Pricelist AUD'!$M$3:$M$112,'Pricelist AUD'!$O$3:$O$112,'Calculator +1 tier'!$C65),IF($A$2=8,SUMIFS('Pricelist AUD'!$N$3:$N$112,'Pricelist AUD'!$O$3:$O$112,'Calculator +1 tier'!$C65),"")))))))),"")</f>
        <v/>
      </c>
      <c r="F65" s="639" t="str">
        <f t="shared" si="3"/>
        <v/>
      </c>
    </row>
    <row r="66" spans="1:6" ht="14.45" customHeight="1">
      <c r="A66" s="798"/>
      <c r="B66" s="143"/>
      <c r="C66" s="15" t="str">
        <f>'Service-based'!C13</f>
        <v># SaaS Security Posture Management Workloads (Microsoft 365 Seats)</v>
      </c>
      <c r="D66" s="31">
        <f>'Service-based'!E13</f>
        <v>0</v>
      </c>
      <c r="E66" s="626" t="str">
        <f>IF(D66&gt;0,IF($A$2=1,SUMIFS('Pricelist AUD'!$G$3:$G$112,'Pricelist AUD'!$O$3:$O$112,'Calculator +1 tier'!$C66),IF($A$2=2,SUMIFS('Pricelist AUD'!$H$3:$H$112,'Pricelist AUD'!$O$3:$O$112,'Calculator +1 tier'!$C66),IF($A$2=3,SUMIFS('Pricelist AUD'!$I$3:$I$112,'Pricelist AUD'!$O$3:$O$112,'Calculator +1 tier'!$C66),IF($A$2=4,SUMIFS('Pricelist AUD'!$J$3:$J$112,'Pricelist AUD'!$O$3:$O$112,'Calculator +1 tier'!$C66),IF($A$2=5,SUMIFS('Pricelist AUD'!$K$3:$K$112,'Pricelist AUD'!$O$3:$O$112,'Calculator +1 tier'!$C66),IF($A$2=6,SUMIFS('Pricelist AUD'!$L$3:$L$112,'Pricelist AUD'!$O$3:$O$112,'Calculator +1 tier'!$C66),IF($A$2=7,SUMIFS('Pricelist AUD'!$M$3:$M$112,'Pricelist AUD'!$O$3:$O$112,'Calculator +1 tier'!$C66),IF($A$2=8,SUMIFS('Pricelist AUD'!$N$3:$N$112,'Pricelist AUD'!$O$3:$O$112,'Calculator +1 tier'!$C66),"")))))))),"")</f>
        <v/>
      </c>
      <c r="F66" s="639" t="str">
        <f t="shared" si="3"/>
        <v/>
      </c>
    </row>
    <row r="67" spans="1:6" ht="14.45" customHeight="1">
      <c r="A67" s="798"/>
      <c r="B67" s="799" t="s">
        <v>168</v>
      </c>
      <c r="C67" s="16" t="str">
        <f>'Service-based'!C6</f>
        <v># Endpoint Detection and Response (EDR) Workloads (Servers, VMs, Workstations, Hosting Servers)</v>
      </c>
      <c r="D67" s="32">
        <f>'Service-based'!E6</f>
        <v>0</v>
      </c>
      <c r="E67" s="626" t="str">
        <f>IF(D67&gt;0,IF($A$2=1,SUMIFS('Pricelist AUD'!$G$3:$G$112,'Pricelist AUD'!$O$3:$O$112,'Calculator +1 tier'!$C67),IF($A$2=2,SUMIFS('Pricelist AUD'!$H$3:$H$112,'Pricelist AUD'!$O$3:$O$112,'Calculator +1 tier'!$C67),IF($A$2=3,SUMIFS('Pricelist AUD'!$I$3:$I$112,'Pricelist AUD'!$O$3:$O$112,'Calculator +1 tier'!$C67),IF($A$2=4,SUMIFS('Pricelist AUD'!$J$3:$J$112,'Pricelist AUD'!$O$3:$O$112,'Calculator +1 tier'!$C67),IF($A$2=5,SUMIFS('Pricelist AUD'!$K$3:$K$112,'Pricelist AUD'!$O$3:$O$112,'Calculator +1 tier'!$C67),IF($A$2=6,SUMIFS('Pricelist AUD'!$L$3:$L$112,'Pricelist AUD'!$O$3:$O$112,'Calculator +1 tier'!$C67),IF($A$2=7,SUMIFS('Pricelist AUD'!$M$3:$M$112,'Pricelist AUD'!$O$3:$O$112,'Calculator +1 tier'!$C67),IF($A$2=8,SUMIFS('Pricelist AUD'!$N$3:$N$112,'Pricelist AUD'!$O$3:$O$112,'Calculator +1 tier'!$C67),"")))))))),"")</f>
        <v/>
      </c>
      <c r="F67" s="640" t="str">
        <f t="shared" si="3"/>
        <v/>
      </c>
    </row>
    <row r="68" spans="1:6" ht="27.95" customHeight="1">
      <c r="A68" s="798"/>
      <c r="B68" s="800"/>
      <c r="C68" s="16" t="str">
        <f>'Service-based'!C7</f>
        <v># Extended Detection and Response (XDR) Workloads (Servers, VMs, Workstations, Hosting Servers)</v>
      </c>
      <c r="D68" s="32">
        <f>'Service-based'!E7</f>
        <v>0</v>
      </c>
      <c r="E68" s="626" t="str">
        <f>IF(D68&gt;0,IF($A$2=1,SUMIFS('Pricelist AUD'!$G$3:$G$112,'Pricelist AUD'!$O$3:$O$112,'Calculator +1 tier'!$C68),IF($A$2=2,SUMIFS('Pricelist AUD'!$H$3:$H$112,'Pricelist AUD'!$O$3:$O$112,'Calculator +1 tier'!$C68),IF($A$2=3,SUMIFS('Pricelist AUD'!$I$3:$I$112,'Pricelist AUD'!$O$3:$O$112,'Calculator +1 tier'!$C68),IF($A$2=4,SUMIFS('Pricelist AUD'!$J$3:$J$112,'Pricelist AUD'!$O$3:$O$112,'Calculator +1 tier'!$C68),IF($A$2=5,SUMIFS('Pricelist AUD'!$K$3:$K$112,'Pricelist AUD'!$O$3:$O$112,'Calculator +1 tier'!$C68),IF($A$2=6,SUMIFS('Pricelist AUD'!$L$3:$L$112,'Pricelist AUD'!$O$3:$O$112,'Calculator +1 tier'!$C68),IF($A$2=7,SUMIFS('Pricelist AUD'!$M$3:$M$112,'Pricelist AUD'!$O$3:$O$112,'Calculator +1 tier'!$C68),IF($A$2=8,SUMIFS('Pricelist AUD'!$N$3:$N$112,'Pricelist AUD'!$O$3:$O$112,'Calculator +1 tier'!$C68),"")))))))),"")</f>
        <v/>
      </c>
      <c r="F68" s="640" t="str">
        <f t="shared" si="3"/>
        <v/>
      </c>
    </row>
    <row r="69" spans="1:6" ht="15" customHeight="1">
      <c r="A69" s="798"/>
      <c r="B69" s="800"/>
      <c r="C69" s="16" t="str">
        <f>'Service-based'!C8</f>
        <v># Managed Detection and Response Workloads - Standard (Servers, VMs, Workstations, Hosting Servers)</v>
      </c>
      <c r="D69" s="32">
        <f>'Service-based'!E8</f>
        <v>0</v>
      </c>
      <c r="E69" s="626" t="str">
        <f>IF(D69&gt;0,IF($A$2=1,SUMIFS('Pricelist AUD'!$G$3:$G$112,'Pricelist AUD'!$O$3:$O$112,'Calculator +1 tier'!$C69),IF($A$2=2,SUMIFS('Pricelist AUD'!$H$3:$H$112,'Pricelist AUD'!$O$3:$O$112,'Calculator +1 tier'!$C69),IF($A$2=3,SUMIFS('Pricelist AUD'!$I$3:$I$112,'Pricelist AUD'!$O$3:$O$112,'Calculator +1 tier'!$C69),IF($A$2=4,SUMIFS('Pricelist AUD'!$J$3:$J$112,'Pricelist AUD'!$O$3:$O$112,'Calculator +1 tier'!$C69),IF($A$2=5,SUMIFS('Pricelist AUD'!$K$3:$K$112,'Pricelist AUD'!$O$3:$O$112,'Calculator +1 tier'!$C69),IF($A$2=6,SUMIFS('Pricelist AUD'!$L$3:$L$112,'Pricelist AUD'!$O$3:$O$112,'Calculator +1 tier'!$C69),IF($A$2=7,SUMIFS('Pricelist AUD'!$M$3:$M$112,'Pricelist AUD'!$O$3:$O$112,'Calculator +1 tier'!$C69),IF($A$2=8,SUMIFS('Pricelist AUD'!$N$3:$N$112,'Pricelist AUD'!$O$3:$O$112,'Calculator +1 tier'!$C69),"")))))))),"")</f>
        <v/>
      </c>
      <c r="F69" s="640" t="str">
        <f t="shared" si="3"/>
        <v/>
      </c>
    </row>
    <row r="70" spans="1:6" ht="14.45" customHeight="1">
      <c r="A70" s="798"/>
      <c r="B70" s="801"/>
      <c r="C70" s="16" t="str">
        <f>'Service-based'!C9</f>
        <v># Managed Detection and Response Workloads - Advanced (Servers, VMs, Workstations, Hosting Servers)</v>
      </c>
      <c r="D70" s="32">
        <f>'Service-based'!E9</f>
        <v>0</v>
      </c>
      <c r="E70" s="626" t="str">
        <f>IF(D70&gt;0,IF($A$2=1,SUMIFS('Pricelist AUD'!$G$3:$G$112,'Pricelist AUD'!$O$3:$O$112,'Calculator +1 tier'!$C70),IF($A$2=2,SUMIFS('Pricelist AUD'!$H$3:$H$112,'Pricelist AUD'!$O$3:$O$112,'Calculator +1 tier'!$C70),IF($A$2=3,SUMIFS('Pricelist AUD'!$I$3:$I$112,'Pricelist AUD'!$O$3:$O$112,'Calculator +1 tier'!$C70),IF($A$2=4,SUMIFS('Pricelist AUD'!$J$3:$J$112,'Pricelist AUD'!$O$3:$O$112,'Calculator +1 tier'!$C70),IF($A$2=5,SUMIFS('Pricelist AUD'!$K$3:$K$112,'Pricelist AUD'!$O$3:$O$112,'Calculator +1 tier'!$C70),IF($A$2=6,SUMIFS('Pricelist AUD'!$L$3:$L$112,'Pricelist AUD'!$O$3:$O$112,'Calculator +1 tier'!$C70),IF($A$2=7,SUMIFS('Pricelist AUD'!$M$3:$M$112,'Pricelist AUD'!$O$3:$O$112,'Calculator +1 tier'!$C70),IF($A$2=8,SUMIFS('Pricelist AUD'!$N$3:$N$112,'Pricelist AUD'!$O$3:$O$112,'Calculator +1 tier'!$C70),"")))))))),"")</f>
        <v/>
      </c>
      <c r="F70" s="639" t="str">
        <f t="shared" si="3"/>
        <v/>
      </c>
    </row>
    <row r="71" spans="1:6" ht="14.45" customHeight="1">
      <c r="A71" s="798"/>
      <c r="B71" s="799" t="s">
        <v>173</v>
      </c>
      <c r="C71" s="16" t="str">
        <f>'Service-based'!C11</f>
        <v># Email Security Users</v>
      </c>
      <c r="D71" s="32">
        <f>'Service-based'!E11</f>
        <v>0</v>
      </c>
      <c r="E71" s="626" t="str">
        <f>IF(D71&gt;0,IF($A$2=1,SUMIFS('Pricelist AUD'!$G$3:$G$112,'Pricelist AUD'!$O$3:$O$112,'Calculator +1 tier'!$C71),IF($A$2=2,SUMIFS('Pricelist AUD'!$H$3:$H$112,'Pricelist AUD'!$O$3:$O$112,'Calculator +1 tier'!$C71),IF($A$2=3,SUMIFS('Pricelist AUD'!$I$3:$I$112,'Pricelist AUD'!$O$3:$O$112,'Calculator +1 tier'!$C71),IF($A$2=4,SUMIFS('Pricelist AUD'!$J$3:$J$112,'Pricelist AUD'!$O$3:$O$112,'Calculator +1 tier'!$C71),IF($A$2=5,SUMIFS('Pricelist AUD'!$K$3:$K$112,'Pricelist AUD'!$O$3:$O$112,'Calculator +1 tier'!$C71),IF($A$2=6,SUMIFS('Pricelist AUD'!$L$3:$L$112,'Pricelist AUD'!$O$3:$O$112,'Calculator +1 tier'!$C71),IF($A$2=7,SUMIFS('Pricelist AUD'!$M$3:$M$112,'Pricelist AUD'!$O$3:$O$112,'Calculator +1 tier'!$C71),IF($A$2=8,SUMIFS('Pricelist AUD'!$N$3:$N$112,'Pricelist AUD'!$O$3:$O$112,'Calculator +1 tier'!$C71),"")))))))),"")</f>
        <v/>
      </c>
      <c r="F71" s="640" t="str">
        <f t="shared" si="3"/>
        <v/>
      </c>
    </row>
    <row r="72" spans="1:6" ht="14.45" customHeight="1">
      <c r="A72" s="798"/>
      <c r="B72" s="811"/>
      <c r="C72" s="172" t="str">
        <f>'Service-based'!C12</f>
        <v># Collaboration Security Users</v>
      </c>
      <c r="D72" s="136">
        <f>'Service-based'!E12</f>
        <v>0</v>
      </c>
      <c r="E72" s="626" t="str">
        <f>IF(D72&gt;0,IF($A$2=1,SUMIFS('Pricelist AUD'!$G$3:$G$112,'Pricelist AUD'!$O$3:$O$112,'Calculator +1 tier'!$C72),IF($A$2=2,SUMIFS('Pricelist AUD'!$H$3:$H$112,'Pricelist AUD'!$O$3:$O$112,'Calculator +1 tier'!$C72),IF($A$2=3,SUMIFS('Pricelist AUD'!$I$3:$I$112,'Pricelist AUD'!$O$3:$O$112,'Calculator +1 tier'!$C72),IF($A$2=4,SUMIFS('Pricelist AUD'!$J$3:$J$112,'Pricelist AUD'!$O$3:$O$112,'Calculator +1 tier'!$C72),IF($A$2=5,SUMIFS('Pricelist AUD'!$K$3:$K$112,'Pricelist AUD'!$O$3:$O$112,'Calculator +1 tier'!$C72),IF($A$2=6,SUMIFS('Pricelist AUD'!$L$3:$L$112,'Pricelist AUD'!$O$3:$O$112,'Calculator +1 tier'!$C72),IF($A$2=7,SUMIFS('Pricelist AUD'!$M$3:$M$112,'Pricelist AUD'!$O$3:$O$112,'Calculator +1 tier'!$C72),IF($A$2=8,SUMIFS('Pricelist AUD'!$N$3:$N$112,'Pricelist AUD'!$O$3:$O$112,'Calculator +1 tier'!$C72),"")))))))),"")</f>
        <v/>
      </c>
      <c r="F72" s="641" t="str">
        <f t="shared" si="3"/>
        <v/>
      </c>
    </row>
    <row r="73" spans="1:6" ht="14.45" customHeight="1">
      <c r="A73" s="798"/>
      <c r="B73" s="144" t="s">
        <v>32</v>
      </c>
      <c r="C73" s="172" t="str">
        <f>'Service-based'!C14</f>
        <v># Security Awareness Training (Users)</v>
      </c>
      <c r="D73" s="136">
        <f>'Service-based'!E14</f>
        <v>0</v>
      </c>
      <c r="E73" s="626" t="str">
        <f>IF(D73&gt;0,IF($A$2=1,SUMIFS('Pricelist AUD'!$G$3:$G$112,'Pricelist AUD'!$O$3:$O$112,'Calculator +1 tier'!$C73),IF($A$2=2,SUMIFS('Pricelist AUD'!$H$3:$H$112,'Pricelist AUD'!$O$3:$O$112,'Calculator +1 tier'!$C73),IF($A$2=3,SUMIFS('Pricelist AUD'!$I$3:$I$112,'Pricelist AUD'!$O$3:$O$112,'Calculator +1 tier'!$C73),IF($A$2=4,SUMIFS('Pricelist AUD'!$J$3:$J$112,'Pricelist AUD'!$O$3:$O$112,'Calculator +1 tier'!$C73),IF($A$2=5,SUMIFS('Pricelist AUD'!$K$3:$K$112,'Pricelist AUD'!$O$3:$O$112,'Calculator +1 tier'!$C73),IF($A$2=6,SUMIFS('Pricelist AUD'!$L$3:$L$112,'Pricelist AUD'!$O$3:$O$112,'Calculator +1 tier'!$C73),IF($A$2=7,SUMIFS('Pricelist AUD'!$M$3:$M$112,'Pricelist AUD'!$O$3:$O$112,'Calculator +1 tier'!$C73),IF($A$2=8,SUMIFS('Pricelist AUD'!$N$3:$N$112,'Pricelist AUD'!$O$3:$O$112,'Calculator +1 tier'!$C73),"")))))))),"")</f>
        <v/>
      </c>
      <c r="F73" s="641" t="str">
        <f t="shared" si="3"/>
        <v/>
      </c>
    </row>
    <row r="74" spans="1:6" ht="14.45" customHeight="1">
      <c r="A74" s="798"/>
      <c r="B74" s="106" t="s">
        <v>176</v>
      </c>
      <c r="C74" s="126" t="str">
        <f>'Service-based'!C10</f>
        <v># Data Loss Prevention Workloads (Servers, VMs, Workstations, Hosting Servers)</v>
      </c>
      <c r="D74" s="127">
        <f>'Service-based'!E10</f>
        <v>0</v>
      </c>
      <c r="E74" s="626" t="str">
        <f>IF(D74&gt;0,IF($A$2=1,SUMIFS('Pricelist AUD'!$G$3:$G$112,'Pricelist AUD'!$O$3:$O$112,'Calculator +1 tier'!$C74),IF($A$2=2,SUMIFS('Pricelist AUD'!$H$3:$H$112,'Pricelist AUD'!$O$3:$O$112,'Calculator +1 tier'!$C74),IF($A$2=3,SUMIFS('Pricelist AUD'!$I$3:$I$112,'Pricelist AUD'!$O$3:$O$112,'Calculator +1 tier'!$C74),IF($A$2=4,SUMIFS('Pricelist AUD'!$J$3:$J$112,'Pricelist AUD'!$O$3:$O$112,'Calculator +1 tier'!$C74),IF($A$2=5,SUMIFS('Pricelist AUD'!$K$3:$K$112,'Pricelist AUD'!$O$3:$O$112,'Calculator +1 tier'!$C74),IF($A$2=6,SUMIFS('Pricelist AUD'!$L$3:$L$112,'Pricelist AUD'!$O$3:$O$112,'Calculator +1 tier'!$C74),IF($A$2=7,SUMIFS('Pricelist AUD'!$M$3:$M$112,'Pricelist AUD'!$O$3:$O$112,'Calculator +1 tier'!$C74),IF($A$2=8,SUMIFS('Pricelist AUD'!$N$3:$N$112,'Pricelist AUD'!$O$3:$O$112,'Calculator +1 tier'!$C74),"")))))))),"")</f>
        <v/>
      </c>
      <c r="F74" s="642" t="str">
        <f t="shared" si="3"/>
        <v/>
      </c>
    </row>
    <row r="75" spans="1:6" ht="15" customHeight="1">
      <c r="A75" s="798"/>
      <c r="B75" s="106" t="s">
        <v>177</v>
      </c>
      <c r="C75" s="128" t="str">
        <f>'Service-based'!C16</f>
        <v># Professional Services Automation (PSA) users (3 minimum)</v>
      </c>
      <c r="D75" s="42">
        <f>'Service-based'!E16</f>
        <v>0</v>
      </c>
      <c r="E75" s="626" t="str">
        <f>IF(D75&gt;0,IF($A$2=1,SUMIFS('Pricelist AUD'!$G$3:$G$112,'Pricelist AUD'!$O$3:$O$112,'Calculator +1 tier'!$C75),IF($A$2=2,SUMIFS('Pricelist AUD'!$H$3:$H$112,'Pricelist AUD'!$O$3:$O$112,'Calculator +1 tier'!$C75),IF($A$2=3,SUMIFS('Pricelist AUD'!$I$3:$I$112,'Pricelist AUD'!$O$3:$O$112,'Calculator +1 tier'!$C75),IF($A$2=4,SUMIFS('Pricelist AUD'!$J$3:$J$112,'Pricelist AUD'!$O$3:$O$112,'Calculator +1 tier'!$C75),IF($A$2=5,SUMIFS('Pricelist AUD'!$K$3:$K$112,'Pricelist AUD'!$O$3:$O$112,'Calculator +1 tier'!$C75),IF($A$2=6,SUMIFS('Pricelist AUD'!$L$3:$L$112,'Pricelist AUD'!$O$3:$O$112,'Calculator +1 tier'!$C75),IF($A$2=7,SUMIFS('Pricelist AUD'!$M$3:$M$112,'Pricelist AUD'!$O$3:$O$112,'Calculator +1 tier'!$C75),IF($A$2=8,SUMIFS('Pricelist AUD'!$N$3:$N$112,'Pricelist AUD'!$O$3:$O$112,'Calculator +1 tier'!$C75),"")))))))),"")</f>
        <v/>
      </c>
      <c r="F75" s="642" t="str">
        <f t="shared" si="3"/>
        <v/>
      </c>
    </row>
    <row r="76" spans="1:6" ht="15" customHeight="1">
      <c r="A76" s="798"/>
      <c r="B76" s="812" t="s">
        <v>179</v>
      </c>
      <c r="C76" s="129" t="str">
        <f>'Service-based'!C45</f>
        <v>Disaster Recovery Cloud Storage - Acronis Hosted</v>
      </c>
      <c r="D76" s="130">
        <f>'Service-based'!E45</f>
        <v>0</v>
      </c>
      <c r="E76" s="626" t="str">
        <f>IF(D76&gt;0,IF($A$2=1,SUMIFS('Pricelist AUD'!$G$3:$G$112,'Pricelist AUD'!$O$3:$O$112,'Calculator +1 tier'!$C76,'Pricelist AUD'!$E$3:$E$112,$D$3),IF($A$2=2,SUMIFS('Pricelist AUD'!$H$3:$H$112,'Pricelist AUD'!$O$3:$O$112,'Calculator +1 tier'!$C76,'Pricelist AUD'!$E$3:$E$112,$D$3),IF($A$2=3,SUMIFS('Pricelist AUD'!$I$3:$I$112,'Pricelist AUD'!$O$3:$O$112,'Calculator +1 tier'!$C76,'Pricelist AUD'!$E$3:$E$112,$D$3),IF($A$2=4,SUMIFS('Pricelist AUD'!$J$3:$J$112,'Pricelist AUD'!$O$3:$O$112,'Calculator +1 tier'!$C76,'Pricelist AUD'!$E$3:$E$112,$D$3),IF($A$2=5,SUMIFS('Pricelist AUD'!$K$3:$K$112,'Pricelist AUD'!$O$3:$O$112,'Calculator +1 tier'!$C76,'Pricelist AUD'!$E$3:$E$112,$D$3),IF($A$2=6,SUMIFS('Pricelist AUD'!$L$3:$L$112,'Pricelist AUD'!$O$3:$O$112,'Calculator +1 tier'!$C76,'Pricelist AUD'!$E$3:$E$112,$D$3),IF($A$2=7,SUMIFS('Pricelist AUD'!$M$3:$M$112,'Pricelist AUD'!$O$3:$O$112,'Calculator +1 tier'!$C76,'Pricelist AUD'!$E$3:$E$112,$D$3),IF($A$2=8,SUMIFS('Pricelist AUD'!$N$3:$N$112,'Pricelist AUD'!$O$3:$O$112,'Calculator +1 tier'!$C76,'Pricelist AUD'!$E$3:$E$112,$D$3),"")))))))),"")</f>
        <v/>
      </c>
      <c r="F76" s="643" t="str">
        <f t="shared" si="3"/>
        <v/>
      </c>
    </row>
    <row r="77" spans="1:6" ht="15" customHeight="1">
      <c r="A77" s="798"/>
      <c r="B77" s="802"/>
      <c r="C77" s="12" t="str">
        <f>'Service-based'!C46</f>
        <v>Disaster Recovery Cloud Storage - Service Provider Hosted</v>
      </c>
      <c r="D77" s="24">
        <f>'Service-based'!E46</f>
        <v>0</v>
      </c>
      <c r="E77" s="626" t="str">
        <f>IF(D77&gt;0,IF($A$2=1,SUMIFS('Pricelist AUD'!$G$3:$G$112,'Pricelist AUD'!$O$3:$O$112,'Calculator +1 tier'!$C77),IF($A$2=2,SUMIFS('Pricelist AUD'!$H$3:$H$112,'Pricelist AUD'!$O$3:$O$112,'Calculator +1 tier'!$C77),IF($A$2=3,SUMIFS('Pricelist AUD'!$I$3:$I$112,'Pricelist AUD'!$O$3:$O$112,'Calculator +1 tier'!$C77),IF($A$2=4,SUMIFS('Pricelist AUD'!$J$3:$J$112,'Pricelist AUD'!$O$3:$O$112,'Calculator +1 tier'!$C77),IF($A$2=5,SUMIFS('Pricelist AUD'!$K$3:$K$112,'Pricelist AUD'!$O$3:$O$112,'Calculator +1 tier'!$C77),IF($A$2=6,SUMIFS('Pricelist AUD'!$L$3:$L$112,'Pricelist AUD'!$O$3:$O$112,'Calculator +1 tier'!$C77),IF($A$2=7,SUMIFS('Pricelist AUD'!$M$3:$M$112,'Pricelist AUD'!$O$3:$O$112,'Calculator +1 tier'!$C77),IF($A$2=8,SUMIFS('Pricelist AUD'!$N$3:$N$112,'Pricelist AUD'!$O$3:$O$112,'Calculator +1 tier'!$C77),"")))))))),"")</f>
        <v/>
      </c>
      <c r="F77" s="637" t="str">
        <f t="shared" si="3"/>
        <v/>
      </c>
    </row>
    <row r="78" spans="1:6" ht="15" customHeight="1">
      <c r="A78" s="798"/>
      <c r="B78" s="802"/>
      <c r="C78" s="9" t="str">
        <f>'Service-based'!C47</f>
        <v>Monthly Compute Point Consumption (tests)</v>
      </c>
      <c r="D78" s="125" t="str">
        <f>'Service-based'!E47</f>
        <v/>
      </c>
      <c r="E78" s="626">
        <f>IF(D78&gt;0,IF($A$2=1,SUMIFS('Pricelist AUD'!$G$3:$G$112,'Pricelist AUD'!$O$3:$O$112,'Calculator +1 tier'!$C78),IF($A$2=2,SUMIFS('Pricelist AUD'!$H$3:$H$112,'Pricelist AUD'!$O$3:$O$112,'Calculator +1 tier'!$C78),IF($A$2=3,SUMIFS('Pricelist AUD'!$I$3:$I$112,'Pricelist AUD'!$O$3:$O$112,'Calculator +1 tier'!$C78),IF($A$2=4,SUMIFS('Pricelist AUD'!$J$3:$J$112,'Pricelist AUD'!$O$3:$O$112,'Calculator +1 tier'!$C78),IF($A$2=5,SUMIFS('Pricelist AUD'!$K$3:$K$112,'Pricelist AUD'!$O$3:$O$112,'Calculator +1 tier'!$C78),IF($A$2=6,SUMIFS('Pricelist AUD'!$L$3:$L$112,'Pricelist AUD'!$O$3:$O$112,'Calculator +1 tier'!$C78),IF($A$2=7,SUMIFS('Pricelist AUD'!$M$3:$M$112,'Pricelist AUD'!$O$3:$O$112,'Calculator +1 tier'!$C78),IF($A$2=8,SUMIFS('Pricelist AUD'!$N$3:$N$112,'Pricelist AUD'!$O$3:$O$112,'Calculator +1 tier'!$C78),"")))))))),"")</f>
        <v>8.7999999999999995E-2</v>
      </c>
      <c r="F78" s="637" t="str">
        <f t="shared" si="3"/>
        <v/>
      </c>
    </row>
    <row r="79" spans="1:6" ht="15" customHeight="1">
      <c r="A79" s="798"/>
      <c r="B79" s="802"/>
      <c r="C79" s="9" t="str">
        <f>'Service-based'!C49</f>
        <v># DR and Direct Backup to Azure workloads</v>
      </c>
      <c r="D79" s="132">
        <f>'Service-based'!E49</f>
        <v>0</v>
      </c>
      <c r="E79" s="626" t="str">
        <f>IF(D79&gt;0,IF($A$2=1,SUMIFS('Pricelist AUD'!$G$3:$G$112,'Pricelist AUD'!$O$3:$O$112,'Calculator +1 tier'!$C79),IF($A$2=2,SUMIFS('Pricelist AUD'!$H$3:$H$112,'Pricelist AUD'!$O$3:$O$112,'Calculator +1 tier'!$C79),IF($A$2=3,SUMIFS('Pricelist AUD'!$I$3:$I$112,'Pricelist AUD'!$O$3:$O$112,'Calculator +1 tier'!$C79),IF($A$2=4,SUMIFS('Pricelist AUD'!$J$3:$J$112,'Pricelist AUD'!$O$3:$O$112,'Calculator +1 tier'!$C79),IF($A$2=5,SUMIFS('Pricelist AUD'!$K$3:$K$112,'Pricelist AUD'!$O$3:$O$112,'Calculator +1 tier'!$C79),IF($A$2=6,SUMIFS('Pricelist AUD'!$L$3:$L$112,'Pricelist AUD'!$O$3:$O$112,'Calculator +1 tier'!$C79),IF($A$2=7,SUMIFS('Pricelist AUD'!$M$3:$M$112,'Pricelist AUD'!$O$3:$O$112,'Calculator +1 tier'!$C79),IF($A$2=8,SUMIFS('Pricelist AUD'!$N$3:$N$112,'Pricelist AUD'!$O$3:$O$112,'Calculator +1 tier'!$C79),"")))))))),"")</f>
        <v/>
      </c>
      <c r="F79" s="637" t="str">
        <f t="shared" si="3"/>
        <v/>
      </c>
    </row>
    <row r="80" spans="1:6" ht="15" customHeight="1">
      <c r="A80" s="798"/>
      <c r="B80" s="803"/>
      <c r="C80" s="131" t="str">
        <f>'Service-based'!C48</f>
        <v>Public IPs</v>
      </c>
      <c r="D80" s="132">
        <f>'Service-based'!E48</f>
        <v>0</v>
      </c>
      <c r="E80" s="626" t="str">
        <f>IF(D80&gt;0,IF($A$2=1,SUMIFS('Pricelist AUD'!$G$3:$G$112,'Pricelist AUD'!$O$3:$O$112,'Calculator +1 tier'!$C80),IF($A$2=2,SUMIFS('Pricelist AUD'!$H$3:$H$112,'Pricelist AUD'!$O$3:$O$112,'Calculator +1 tier'!$C80),IF($A$2=3,SUMIFS('Pricelist AUD'!$I$3:$I$112,'Pricelist AUD'!$O$3:$O$112,'Calculator +1 tier'!$C80),IF($A$2=4,SUMIFS('Pricelist AUD'!$J$3:$J$112,'Pricelist AUD'!$O$3:$O$112,'Calculator +1 tier'!$C80),IF($A$2=5,SUMIFS('Pricelist AUD'!$K$3:$K$112,'Pricelist AUD'!$O$3:$O$112,'Calculator +1 tier'!$C80),IF($A$2=6,SUMIFS('Pricelist AUD'!$L$3:$L$112,'Pricelist AUD'!$O$3:$O$112,'Calculator +1 tier'!$C80),IF($A$2=7,SUMIFS('Pricelist AUD'!$M$3:$M$112,'Pricelist AUD'!$O$3:$O$112,'Calculator +1 tier'!$C80),IF($A$2=8,SUMIFS('Pricelist AUD'!$N$3:$N$112,'Pricelist AUD'!$O$3:$O$112,'Calculator +1 tier'!$C80),"")))))))),"")</f>
        <v/>
      </c>
      <c r="F80" s="644" t="str">
        <f t="shared" si="3"/>
        <v/>
      </c>
    </row>
    <row r="81" spans="1:6" ht="15" customHeight="1">
      <c r="A81" s="798"/>
      <c r="B81" s="812" t="s">
        <v>180</v>
      </c>
      <c r="C81" s="9" t="str">
        <f>'Service-based'!C61</f>
        <v># of Advanced FSS eSignatures (per eSignature)</v>
      </c>
      <c r="D81" s="23">
        <f>'Service-based'!E61</f>
        <v>0</v>
      </c>
      <c r="E81" s="626" t="str">
        <f>IF(D81&gt;0,IF($A$2=1,SUMIFS('Pricelist AUD'!$G$3:$G$112,'Pricelist AUD'!$O$3:$O$112,'Calculator +1 tier'!$C81),IF($A$2=2,SUMIFS('Pricelist AUD'!$H$3:$H$112,'Pricelist AUD'!$O$3:$O$112,'Calculator +1 tier'!$C81),IF($A$2=3,SUMIFS('Pricelist AUD'!$I$3:$I$112,'Pricelist AUD'!$O$3:$O$112,'Calculator +1 tier'!$C81),IF($A$2=4,SUMIFS('Pricelist AUD'!$J$3:$J$112,'Pricelist AUD'!$O$3:$O$112,'Calculator +1 tier'!$C81),IF($A$2=5,SUMIFS('Pricelist AUD'!$K$3:$K$112,'Pricelist AUD'!$O$3:$O$112,'Calculator +1 tier'!$C81),IF($A$2=6,SUMIFS('Pricelist AUD'!$L$3:$L$112,'Pricelist AUD'!$O$3:$O$112,'Calculator +1 tier'!$C81),IF($A$2=7,SUMIFS('Pricelist AUD'!$M$3:$M$112,'Pricelist AUD'!$O$3:$O$112,'Calculator +1 tier'!$C81),IF($A$2=8,SUMIFS('Pricelist AUD'!$N$3:$N$112,'Pricelist AUD'!$O$3:$O$112,'Calculator +1 tier'!$C81),"")))))))),"")</f>
        <v/>
      </c>
      <c r="F81" s="636" t="str">
        <f t="shared" si="3"/>
        <v/>
      </c>
    </row>
    <row r="82" spans="1:6" ht="15" customHeight="1">
      <c r="A82" s="798"/>
      <c r="B82" s="803"/>
      <c r="C82" s="12" t="str">
        <f>'Service-based'!C62</f>
        <v># of Advanced FSS Notarizations (per file)</v>
      </c>
      <c r="D82" s="24">
        <f>'Service-based'!E62</f>
        <v>0</v>
      </c>
      <c r="E82" s="626" t="str">
        <f>IF(D82&gt;0,IF($A$2=1,SUMIFS('Pricelist AUD'!$G$3:$G$112,'Pricelist AUD'!$O$3:$O$112,'Calculator +1 tier'!$C82),IF($A$2=2,SUMIFS('Pricelist AUD'!$H$3:$H$112,'Pricelist AUD'!$O$3:$O$112,'Calculator +1 tier'!$C82),IF($A$2=3,SUMIFS('Pricelist AUD'!$I$3:$I$112,'Pricelist AUD'!$O$3:$O$112,'Calculator +1 tier'!$C82),IF($A$2=4,SUMIFS('Pricelist AUD'!$J$3:$J$112,'Pricelist AUD'!$O$3:$O$112,'Calculator +1 tier'!$C82),IF($A$2=5,SUMIFS('Pricelist AUD'!$K$3:$K$112,'Pricelist AUD'!$O$3:$O$112,'Calculator +1 tier'!$C82),IF($A$2=6,SUMIFS('Pricelist AUD'!$L$3:$L$112,'Pricelist AUD'!$O$3:$O$112,'Calculator +1 tier'!$C82),IF($A$2=7,SUMIFS('Pricelist AUD'!$M$3:$M$112,'Pricelist AUD'!$O$3:$O$112,'Calculator +1 tier'!$C82),IF($A$2=8,SUMIFS('Pricelist AUD'!$N$3:$N$112,'Pricelist AUD'!$O$3:$O$112,'Calculator +1 tier'!$C82),"")))))))),"")</f>
        <v/>
      </c>
      <c r="F82" s="637" t="str">
        <f t="shared" si="3"/>
        <v/>
      </c>
    </row>
    <row r="83" spans="1:6" ht="21" customHeight="1">
      <c r="A83" s="804" t="s">
        <v>112</v>
      </c>
      <c r="B83" s="807" t="s">
        <v>181</v>
      </c>
      <c r="C83" s="806"/>
      <c r="D83" s="35"/>
      <c r="E83" s="584"/>
      <c r="F83" s="635"/>
    </row>
    <row r="84" spans="1:6" ht="14.45" customHeight="1">
      <c r="A84" s="804"/>
      <c r="B84" s="802" t="s">
        <v>78</v>
      </c>
      <c r="C84" s="9" t="str">
        <f>'Service-based'!C57</f>
        <v>Cyber Files Cloud Acronis Hosted Storage</v>
      </c>
      <c r="D84" s="33">
        <f>'Service-based'!E57</f>
        <v>0</v>
      </c>
      <c r="E84" s="626" t="str">
        <f>IF(D84&gt;0,IF($A$2=1,SUMIFS('Pricelist AUD'!$G$3:$G$112,'Pricelist AUD'!$O$3:$O$112,'Calculator +1 tier'!$C84,'Pricelist AUD'!$E$3:$E$112,$D$3),IF($A$2=2,SUMIFS('Pricelist AUD'!$H$3:$H$112,'Pricelist AUD'!$O$3:$O$112,'Calculator +1 tier'!$C84,'Pricelist AUD'!$E$3:$E$112,$D$3),IF($A$2=3,SUMIFS('Pricelist AUD'!$I$3:$I$112,'Pricelist AUD'!$O$3:$O$112,'Calculator +1 tier'!$C84,'Pricelist AUD'!$E$3:$E$112,$D$3),IF($A$2=4,SUMIFS('Pricelist AUD'!$J$3:$J$112,'Pricelist AUD'!$O$3:$O$112,'Calculator +1 tier'!$C84,'Pricelist AUD'!$E$3:$E$112,$D$3),IF($A$2=5,SUMIFS('Pricelist AUD'!$K$3:$K$112,'Pricelist AUD'!$O$3:$O$112,'Calculator +1 tier'!$C84,'Pricelist AUD'!$E$3:$E$112,$D$3),IF($A$2=6,SUMIFS('Pricelist AUD'!$L$3:$L$112,'Pricelist AUD'!$O$3:$O$112,'Calculator +1 tier'!$C84,'Pricelist AUD'!$E$3:$E$112,$D$3),IF($A$2=7,SUMIFS('Pricelist AUD'!$M$3:$M$112,'Pricelist AUD'!$O$3:$O$112,'Calculator +1 tier'!$C84,'Pricelist AUD'!$E$3:$E$112,$D$3),IF($A$2=8,SUMIFS('Pricelist AUD'!$N$3:$N$112,'Pricelist AUD'!$O$3:$O$112,'Calculator +1 tier'!$C84,'Pricelist AUD'!$E$3:$E$112,$D$3),"")))))))),"")</f>
        <v/>
      </c>
      <c r="F84" s="628" t="str">
        <f>IFERROR(D84*E84,"")</f>
        <v/>
      </c>
    </row>
    <row r="85" spans="1:6" ht="13.5" customHeight="1">
      <c r="A85" s="804"/>
      <c r="B85" s="808"/>
      <c r="C85" s="17" t="str">
        <f>'Service-based'!C58</f>
        <v>Cyber Files Cloud Service Provider Hosted Storage</v>
      </c>
      <c r="D85" s="36">
        <f>'Service-based'!E58</f>
        <v>0</v>
      </c>
      <c r="E85" s="626" t="str">
        <f>IF(D85&gt;0,IF($A$2=1,SUMIFS('Pricelist AUD'!$G$3:$G$112,'Pricelist AUD'!$O$3:$O$112,'Calculator +1 tier'!$C85),IF($A$2=2,SUMIFS('Pricelist AUD'!$H$3:$H$112,'Pricelist AUD'!$O$3:$O$112,'Calculator +1 tier'!$C85),IF($A$2=3,SUMIFS('Pricelist AUD'!$I$3:$I$112,'Pricelist AUD'!$O$3:$O$112,'Calculator +1 tier'!$C85),IF($A$2=4,SUMIFS('Pricelist AUD'!$J$3:$J$112,'Pricelist AUD'!$O$3:$O$112,'Calculator +1 tier'!$C85),IF($A$2=5,SUMIFS('Pricelist AUD'!$K$3:$K$112,'Pricelist AUD'!$O$3:$O$112,'Calculator +1 tier'!$C85),IF($A$2=6,SUMIFS('Pricelist AUD'!$L$3:$L$112,'Pricelist AUD'!$O$3:$O$112,'Calculator +1 tier'!$C85),IF($A$2=7,SUMIFS('Pricelist AUD'!$M$3:$M$112,'Pricelist AUD'!$O$3:$O$112,'Calculator +1 tier'!$C85),IF($A$2=8,SUMIFS('Pricelist AUD'!$N$3:$N$112,'Pricelist AUD'!$O$3:$O$112,'Calculator +1 tier'!$C85),"")))))))),"")</f>
        <v/>
      </c>
      <c r="F85" s="645" t="str">
        <f>IFERROR(D85*E85,"")</f>
        <v/>
      </c>
    </row>
    <row r="86" spans="1:6" ht="14.45" customHeight="1">
      <c r="A86" s="804"/>
      <c r="B86" s="809" t="s">
        <v>115</v>
      </c>
      <c r="C86" s="11" t="str">
        <f>'Service-based'!C59</f>
        <v># of Cyber Files Users</v>
      </c>
      <c r="D86" s="34">
        <f>'Service-based'!E59</f>
        <v>0</v>
      </c>
      <c r="E86" s="626" t="str">
        <f>IF(D86&gt;0,IF($A$2=1,SUMIFS('Pricelist AUD'!$G$3:$G$112,'Pricelist AUD'!$O$3:$O$112,'Calculator +1 tier'!$C86),IF($A$2=2,SUMIFS('Pricelist AUD'!$H$3:$H$112,'Pricelist AUD'!$O$3:$O$112,'Calculator +1 tier'!$C86),IF($A$2=3,SUMIFS('Pricelist AUD'!$I$3:$I$112,'Pricelist AUD'!$O$3:$O$112,'Calculator +1 tier'!$C86),IF($A$2=4,SUMIFS('Pricelist AUD'!$J$3:$J$112,'Pricelist AUD'!$O$3:$O$112,'Calculator +1 tier'!$C86),IF($A$2=5,SUMIFS('Pricelist AUD'!$K$3:$K$112,'Pricelist AUD'!$O$3:$O$112,'Calculator +1 tier'!$C86),IF($A$2=6,SUMIFS('Pricelist AUD'!$L$3:$L$112,'Pricelist AUD'!$O$3:$O$112,'Calculator +1 tier'!$C86),IF($A$2=7,SUMIFS('Pricelist AUD'!$M$3:$M$112,'Pricelist AUD'!$O$3:$O$112,'Calculator +1 tier'!$C86),IF($A$2=8,SUMIFS('Pricelist AUD'!$N$3:$N$112,'Pricelist AUD'!$O$3:$O$112,'Calculator +1 tier'!$C86),"")))))))),"")</f>
        <v/>
      </c>
      <c r="F86" s="628" t="str">
        <f>IFERROR(D86*E86,"")</f>
        <v/>
      </c>
    </row>
    <row r="87" spans="1:6" ht="15" customHeight="1">
      <c r="A87" s="804"/>
      <c r="B87" s="810"/>
      <c r="C87" s="17" t="str">
        <f>'Service-based'!C60</f>
        <v xml:space="preserve"> Cyber Files Cloud Acronis Hosted Storage</v>
      </c>
      <c r="D87" s="36">
        <f>'Service-based'!E60</f>
        <v>0</v>
      </c>
      <c r="E87" s="626" t="str">
        <f>IF(D87&gt;0,IF($A$2=1,SUMIFS('Pricelist AUD'!$G$3:$G$112,'Pricelist AUD'!$O$3:$O$112,'Calculator +1 tier'!$C87,'Pricelist AUD'!$E$3:$E$112,$D$3),IF($A$2=2,SUMIFS('Pricelist AUD'!$H$3:$H$112,'Pricelist AUD'!$O$3:$O$112,'Calculator +1 tier'!$C87,'Pricelist AUD'!$E$3:$E$112,$D$3),IF($A$2=3,SUMIFS('Pricelist AUD'!$I$3:$I$112,'Pricelist AUD'!$O$3:$O$112,'Calculator +1 tier'!$C87,'Pricelist AUD'!$E$3:$E$112,$D$3),IF($A$2=4,SUMIFS('Pricelist AUD'!$J$3:$J$112,'Pricelist AUD'!$O$3:$O$112,'Calculator +1 tier'!$C87,'Pricelist AUD'!$E$3:$E$112,$D$3),IF($A$2=5,SUMIFS('Pricelist AUD'!$K$3:$K$112,'Pricelist AUD'!$O$3:$O$112,'Calculator +1 tier'!$C87,'Pricelist AUD'!$E$3:$E$112,$D$3),IF($A$2=6,SUMIFS('Pricelist AUD'!$L$3:$L$112,'Pricelist AUD'!$O$3:$O$112,'Calculator +1 tier'!$C87,'Pricelist AUD'!$E$3:$E$112,$D$3),IF($A$2=7,SUMIFS('Pricelist AUD'!$M$3:$M$112,'Pricelist AUD'!$O$3:$O$112,'Calculator +1 tier'!$C87,'Pricelist AUD'!$E$3:$E$112,$D$3),IF($A$2=8,SUMIFS('Pricelist AUD'!$N$3:$N$112,'Pricelist AUD'!$O$3:$O$112,'Calculator +1 tier'!$C87,'Pricelist AUD'!$E$3:$E$112,$D$3),"")))))))),"")</f>
        <v/>
      </c>
      <c r="F87" s="645" t="str">
        <f>IFERROR(D87*E87,"")</f>
        <v/>
      </c>
    </row>
    <row r="88" spans="1:6" s="5" customFormat="1" ht="20.45" customHeight="1">
      <c r="A88" s="804" t="s">
        <v>123</v>
      </c>
      <c r="B88" s="805" t="s">
        <v>182</v>
      </c>
      <c r="C88" s="806"/>
      <c r="D88" s="37"/>
      <c r="E88" s="646"/>
      <c r="F88" s="631"/>
    </row>
    <row r="89" spans="1:6" s="5" customFormat="1" ht="20.45" customHeight="1">
      <c r="A89" s="804"/>
      <c r="B89" s="58" t="s">
        <v>78</v>
      </c>
      <c r="C89" s="10" t="str">
        <f>'Service-based'!C64</f>
        <v>Storage Required for S3/iSCSI/NFS/Compute (Per GB)</v>
      </c>
      <c r="D89" s="38">
        <f>'Service-based'!E64</f>
        <v>0</v>
      </c>
      <c r="E89" s="626" t="str">
        <f>IF(D89&gt;0,IF($A$2=1,SUMIFS('Pricelist AUD'!$G$3:$G$112,'Pricelist AUD'!$O$3:$O$112,'Calculator +1 tier'!$C89),IF($A$2=2,SUMIFS('Pricelist AUD'!$H$3:$H$112,'Pricelist AUD'!$O$3:$O$112,'Calculator +1 tier'!$C89),IF($A$2=3,SUMIFS('Pricelist AUD'!$I$3:$I$112,'Pricelist AUD'!$O$3:$O$112,'Calculator +1 tier'!$C89),IF($A$2=4,SUMIFS('Pricelist AUD'!$J$3:$J$112,'Pricelist AUD'!$O$3:$O$112,'Calculator +1 tier'!$C89),IF($A$2=5,SUMIFS('Pricelist AUD'!$K$3:$K$112,'Pricelist AUD'!$O$3:$O$112,'Calculator +1 tier'!$C89),IF($A$2=6,SUMIFS('Pricelist AUD'!$L$3:$L$112,'Pricelist AUD'!$O$3:$O$112,'Calculator +1 tier'!$C89),IF($A$2=7,SUMIFS('Pricelist AUD'!$M$3:$M$112,'Pricelist AUD'!$O$3:$O$112,'Calculator +1 tier'!$C89),IF($A$2=8,SUMIFS('Pricelist AUD'!$N$3:$N$112,'Pricelist AUD'!$O$3:$O$112,'Calculator +1 tier'!$C89),"")))))))),"")</f>
        <v/>
      </c>
      <c r="F89" s="633" t="str">
        <f>IFERROR(D89*E89,"")</f>
        <v/>
      </c>
    </row>
    <row r="90" spans="1:6" ht="15.6">
      <c r="A90" s="41"/>
      <c r="B90" s="20"/>
      <c r="C90" s="18"/>
      <c r="D90" s="204" t="s">
        <v>183</v>
      </c>
      <c r="E90" s="40"/>
      <c r="F90" s="647">
        <f>SUM(F5:F89)</f>
        <v>0</v>
      </c>
    </row>
    <row r="91" spans="1:6" ht="15.6">
      <c r="A91" s="8"/>
      <c r="B91" s="8"/>
      <c r="C91" s="8"/>
      <c r="D91" s="39" t="s">
        <v>42</v>
      </c>
      <c r="E91" s="21"/>
      <c r="F91" s="648">
        <f>IF(F90&gt;D2,F90,D2)</f>
        <v>700</v>
      </c>
    </row>
    <row r="92" spans="1:6" ht="15.6">
      <c r="A92" s="8"/>
      <c r="B92" s="8"/>
      <c r="C92" s="8"/>
      <c r="D92" s="39" t="s">
        <v>43</v>
      </c>
      <c r="E92" s="21"/>
      <c r="F92" s="648">
        <f>F91*12</f>
        <v>8400</v>
      </c>
    </row>
  </sheetData>
  <mergeCells count="30">
    <mergeCell ref="E3:F3"/>
    <mergeCell ref="E2:F2"/>
    <mergeCell ref="B55:B57"/>
    <mergeCell ref="B58:C58"/>
    <mergeCell ref="B81:B82"/>
    <mergeCell ref="B2:C2"/>
    <mergeCell ref="B4:C4"/>
    <mergeCell ref="B29:B42"/>
    <mergeCell ref="B46:C46"/>
    <mergeCell ref="B5:B7"/>
    <mergeCell ref="B8:B14"/>
    <mergeCell ref="B15:B19"/>
    <mergeCell ref="B20:B21"/>
    <mergeCell ref="B27:B28"/>
    <mergeCell ref="A88:A89"/>
    <mergeCell ref="B88:C88"/>
    <mergeCell ref="B3:C3"/>
    <mergeCell ref="B59:B64"/>
    <mergeCell ref="A83:A87"/>
    <mergeCell ref="B83:C83"/>
    <mergeCell ref="B84:B85"/>
    <mergeCell ref="B86:B87"/>
    <mergeCell ref="B47:B50"/>
    <mergeCell ref="A59:A82"/>
    <mergeCell ref="B67:B70"/>
    <mergeCell ref="B71:B72"/>
    <mergeCell ref="B76:B80"/>
    <mergeCell ref="B24:B26"/>
    <mergeCell ref="A29:A57"/>
    <mergeCell ref="A5:A28"/>
  </mergeCells>
  <conditionalFormatting sqref="F91:F92">
    <cfRule type="expression" dxfId="1" priority="2">
      <formula>AND(#REF!&lt;#REF!,(SUM(#REF!)*#REF!&gt;0))</formula>
    </cfRule>
  </conditionalFormatting>
  <conditionalFormatting sqref="E91:E92">
    <cfRule type="expression" dxfId="0" priority="1">
      <formula>AND(#REF!&lt;#REF!,(SUM(#REF!)*#REF!&gt;0))</formula>
    </cfRule>
  </conditionalFormatting>
  <dataValidations count="10">
    <dataValidation allowBlank="1" showInputMessage="1" showErrorMessage="1" promptTitle="Azure/Google Cloud storage" prompt="Cloud Azure/Google storage managed by Acronis at selected locations" sqref="C42:C45 C48" xr:uid="{96232B51-3A65-4C82-BF0D-144BBBDC4C6C}"/>
    <dataValidation allowBlank="1" showErrorMessage="1" promptTitle="Service Provider Hosted Storage" prompt="Storage hosted on Service Provider Datacenter or Public Cloud managed by Service Provider (Azure, AWS, etc.)" sqref="C86:C87" xr:uid="{138C43F4-2949-4E0E-9089-743A4E9F998D}"/>
    <dataValidation allowBlank="1" showErrorMessage="1" prompt="At Acronis Datacenter and/or Azure/Google storage managed by Acronis " sqref="C86" xr:uid="{C88B5A17-8D71-4F71-B6DD-E74F94C5C6D8}"/>
    <dataValidation allowBlank="1" showInputMessage="1" showErrorMessage="1" promptTitle="&gt;&gt;&gt;&gt;&gt;Acronis Hosted Storage&lt;&lt;&lt;&lt;&lt;" prompt="At Acronis Datacenter" sqref="C84" xr:uid="{2BA5A318-5703-45DD-8AD4-5AFC3FC765C1}"/>
    <dataValidation allowBlank="1" showErrorMessage="1" promptTitle="Service Provider Hosted Storage" sqref="C89" xr:uid="{FD2C11E9-48BF-4348-B7DB-072566EECF14}"/>
    <dataValidation allowBlank="1" showErrorMessage="1" sqref="D87:D89" xr:uid="{00000000-0002-0000-0200-000005000000}"/>
    <dataValidation allowBlank="1" showInputMessage="1" showErrorMessage="1" promptTitle="&gt;&gt;&gt;&gt;&gt;Public IPs&lt;&lt;&lt;&lt;&lt;" prompt="Public IPs are optional. Only required for public facing services, i.e. Mail Server or Web Portal. 1 IP is assigned to 1 server and is reserved for that server." sqref="C80:C82" xr:uid="{8203D88B-7B7A-49DD-91F6-F664BDCE775D}"/>
    <dataValidation allowBlank="1" showInputMessage="1" showErrorMessage="1" promptTitle="&gt;&gt;&gt;&gt;&gt;Compute Points&lt;&lt;&lt;&lt;&lt;" sqref="C78:C79" xr:uid="{5D3BC1FA-FDD3-46CE-AC74-FF7A6D80C945}"/>
    <dataValidation allowBlank="1" showInputMessage="1" showErrorMessage="1" promptTitle="&gt;&gt;&gt;&gt;&gt;Customer Local Storage&lt;&lt;&lt;&lt;&lt;" prompt="Any storage that is local to the customer and that will be used for backups: Removable drives, Network Shares, Internal disks, etc." sqref="C50:C54" xr:uid="{BEE3CAFB-9A46-4F90-B5F0-4DF72F81E1FB}"/>
    <dataValidation allowBlank="1" showInputMessage="1" showErrorMessage="1" promptTitle="Service Provider Hosted Storage" prompt="Storage hosted on Service Provider Datacenter or Public Cloud managed by Service Provider (Azure, AWS, etc.)" sqref="C85 C49" xr:uid="{0833F762-CCD1-44CF-BAB0-388E3C6D349D}"/>
  </dataValidations>
  <hyperlinks>
    <hyperlink ref="B3:C3" location="'DCs by groups'!A1" display="2. Choose Datacenter Group: " xr:uid="{292D9D0D-EBC7-47AE-9D0C-01324059E9DC}"/>
    <hyperlink ref="C78" location="'Compute Points'!A1" display="Monthly Compute Point Consumption" xr:uid="{B9CE17EE-B6D9-4066-92A1-DC68569B5C85}"/>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12FAD47-C36B-41D1-9834-7DAE8CC78D7B}">
          <x14:formula1>
            <xm:f>'Cloud DCs'!$G$2:$G$4</xm:f>
          </x14:formula1>
          <xm:sqref>D3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5D174-DF42-405A-82E0-8453AB56E93F}">
  <dimension ref="A1:O125"/>
  <sheetViews>
    <sheetView zoomScale="70" zoomScaleNormal="70" workbookViewId="0">
      <selection sqref="A1:C2"/>
    </sheetView>
  </sheetViews>
  <sheetFormatPr defaultColWidth="8.85546875" defaultRowHeight="14.45"/>
  <cols>
    <col min="1" max="1" width="20.140625" customWidth="1"/>
    <col min="2" max="2" width="20.5703125" customWidth="1"/>
    <col min="3" max="3" width="22.28515625" customWidth="1"/>
    <col min="4" max="4" width="125.42578125" customWidth="1"/>
    <col min="5" max="5" width="18.140625" customWidth="1"/>
    <col min="6" max="6" width="12.85546875" customWidth="1"/>
    <col min="7" max="12" width="18.42578125" customWidth="1"/>
    <col min="13" max="13" width="14.5703125" bestFit="1" customWidth="1"/>
    <col min="14" max="14" width="16.7109375" customWidth="1"/>
    <col min="15" max="15" width="78.5703125" hidden="1" customWidth="1"/>
  </cols>
  <sheetData>
    <row r="1" spans="1:15" ht="15" customHeight="1">
      <c r="A1" s="876" t="s">
        <v>184</v>
      </c>
      <c r="B1" s="877"/>
      <c r="C1" s="877"/>
      <c r="D1" s="872" t="s">
        <v>185</v>
      </c>
      <c r="E1" s="845" t="s">
        <v>186</v>
      </c>
      <c r="F1" s="845" t="s">
        <v>187</v>
      </c>
      <c r="G1" s="362" t="s">
        <v>188</v>
      </c>
      <c r="H1" s="363" t="s">
        <v>189</v>
      </c>
      <c r="I1" s="363" t="s">
        <v>190</v>
      </c>
      <c r="J1" s="363" t="s">
        <v>191</v>
      </c>
      <c r="K1" s="363" t="s">
        <v>192</v>
      </c>
      <c r="L1" s="363" t="s">
        <v>193</v>
      </c>
      <c r="M1" s="363" t="s">
        <v>194</v>
      </c>
      <c r="N1" s="364" t="s">
        <v>195</v>
      </c>
      <c r="O1" s="2"/>
    </row>
    <row r="2" spans="1:15" ht="15" customHeight="1" thickBot="1">
      <c r="A2" s="878"/>
      <c r="B2" s="879"/>
      <c r="C2" s="879"/>
      <c r="D2" s="873"/>
      <c r="E2" s="846"/>
      <c r="F2" s="846"/>
      <c r="G2" s="365">
        <v>350</v>
      </c>
      <c r="H2" s="366">
        <v>700</v>
      </c>
      <c r="I2" s="366">
        <v>1500</v>
      </c>
      <c r="J2" s="366">
        <v>3000</v>
      </c>
      <c r="K2" s="366">
        <v>6000</v>
      </c>
      <c r="L2" s="366">
        <v>10500</v>
      </c>
      <c r="M2" s="366">
        <v>15000</v>
      </c>
      <c r="N2" s="367">
        <v>22500</v>
      </c>
      <c r="O2" s="2"/>
    </row>
    <row r="3" spans="1:15" ht="15" customHeight="1">
      <c r="A3" s="880" t="s">
        <v>196</v>
      </c>
      <c r="B3" s="858" t="s">
        <v>9</v>
      </c>
      <c r="C3" s="859"/>
      <c r="D3" s="174" t="s">
        <v>197</v>
      </c>
      <c r="E3" s="119" t="s">
        <v>198</v>
      </c>
      <c r="F3" s="258" t="s">
        <v>199</v>
      </c>
      <c r="G3" s="368">
        <v>4.37</v>
      </c>
      <c r="H3" s="369">
        <v>4.0599999999999996</v>
      </c>
      <c r="I3" s="370">
        <v>3.6</v>
      </c>
      <c r="J3" s="371">
        <v>3.12</v>
      </c>
      <c r="K3" s="371">
        <v>2.5</v>
      </c>
      <c r="L3" s="371">
        <v>2.4300000000000002</v>
      </c>
      <c r="M3" s="371">
        <v>2.35</v>
      </c>
      <c r="N3" s="372">
        <v>2.29</v>
      </c>
      <c r="O3" s="2" t="str">
        <f>'Solution-based'!C6</f>
        <v># Endpoint Security (Servers, VMs, Workstations)</v>
      </c>
    </row>
    <row r="4" spans="1:15" ht="15" customHeight="1">
      <c r="A4" s="881"/>
      <c r="B4" s="860"/>
      <c r="C4" s="861"/>
      <c r="D4" s="175" t="s">
        <v>200</v>
      </c>
      <c r="E4" s="120" t="s">
        <v>198</v>
      </c>
      <c r="F4" s="259" t="s">
        <v>201</v>
      </c>
      <c r="G4" s="373">
        <v>5</v>
      </c>
      <c r="H4" s="374">
        <v>4.8499999999999996</v>
      </c>
      <c r="I4" s="374">
        <v>4.5999999999999996</v>
      </c>
      <c r="J4" s="375">
        <v>4.3499999999999996</v>
      </c>
      <c r="K4" s="375">
        <v>4.2</v>
      </c>
      <c r="L4" s="375">
        <v>4</v>
      </c>
      <c r="M4" s="375">
        <v>3.85</v>
      </c>
      <c r="N4" s="376">
        <v>3.76</v>
      </c>
      <c r="O4" s="2" t="str">
        <f>'Solution-based'!C7</f>
        <v># Microsoft 365 Security</v>
      </c>
    </row>
    <row r="5" spans="1:15" ht="15" customHeight="1" thickBot="1">
      <c r="A5" s="881"/>
      <c r="B5" s="862"/>
      <c r="C5" s="863"/>
      <c r="D5" s="307" t="s">
        <v>202</v>
      </c>
      <c r="E5" s="287" t="s">
        <v>198</v>
      </c>
      <c r="F5" s="264" t="s">
        <v>203</v>
      </c>
      <c r="G5" s="377">
        <v>3.34</v>
      </c>
      <c r="H5" s="378">
        <v>3.16</v>
      </c>
      <c r="I5" s="378">
        <v>2.97</v>
      </c>
      <c r="J5" s="378">
        <v>2.69</v>
      </c>
      <c r="K5" s="378">
        <v>2.64</v>
      </c>
      <c r="L5" s="378">
        <f t="shared" ref="L5" si="0">AVERAGE(K5,M5)</f>
        <v>2.6150000000000002</v>
      </c>
      <c r="M5" s="378">
        <v>2.59</v>
      </c>
      <c r="N5" s="379">
        <v>2.5299999999999998</v>
      </c>
      <c r="O5" s="2" t="str">
        <f>'Solution-based'!C8</f>
        <v># Google Workspace Security</v>
      </c>
    </row>
    <row r="6" spans="1:15" ht="15" customHeight="1">
      <c r="A6" s="882"/>
      <c r="B6" s="884" t="s">
        <v>204</v>
      </c>
      <c r="C6" s="887" t="s">
        <v>205</v>
      </c>
      <c r="D6" s="316" t="s">
        <v>206</v>
      </c>
      <c r="E6" s="311" t="s">
        <v>3</v>
      </c>
      <c r="F6" s="315" t="s">
        <v>207</v>
      </c>
      <c r="G6" s="380">
        <v>101</v>
      </c>
      <c r="H6" s="381">
        <v>90</v>
      </c>
      <c r="I6" s="382">
        <v>84</v>
      </c>
      <c r="J6" s="383">
        <v>76</v>
      </c>
      <c r="K6" s="383">
        <v>70</v>
      </c>
      <c r="L6" s="383">
        <v>68</v>
      </c>
      <c r="M6" s="383">
        <v>66</v>
      </c>
      <c r="N6" s="384">
        <v>64</v>
      </c>
      <c r="O6" s="2" t="str">
        <f>'Solution-based'!C9</f>
        <v># BDR Server (3 TB of Acronis Hosted Storage included)</v>
      </c>
    </row>
    <row r="7" spans="1:15" ht="15" customHeight="1">
      <c r="A7" s="882"/>
      <c r="B7" s="885"/>
      <c r="C7" s="888"/>
      <c r="D7" s="317" t="s">
        <v>208</v>
      </c>
      <c r="E7" s="120" t="s">
        <v>3</v>
      </c>
      <c r="F7" s="259" t="s">
        <v>209</v>
      </c>
      <c r="G7" s="385">
        <v>70.5</v>
      </c>
      <c r="H7" s="386">
        <v>64.599999999999994</v>
      </c>
      <c r="I7" s="386">
        <v>59.6</v>
      </c>
      <c r="J7" s="387">
        <v>53.9</v>
      </c>
      <c r="K7" s="387">
        <v>50.5</v>
      </c>
      <c r="L7" s="387">
        <v>48.5</v>
      </c>
      <c r="M7" s="387">
        <v>46.5</v>
      </c>
      <c r="N7" s="388">
        <v>45.5</v>
      </c>
      <c r="O7" s="2" t="str">
        <f>'Solution-based'!C10</f>
        <v># BDR Virtual Machine (2 TB of Acronis Hosted Storage included)</v>
      </c>
    </row>
    <row r="8" spans="1:15" ht="15" customHeight="1">
      <c r="A8" s="882"/>
      <c r="B8" s="885"/>
      <c r="C8" s="888"/>
      <c r="D8" s="317" t="s">
        <v>210</v>
      </c>
      <c r="E8" s="120" t="s">
        <v>3</v>
      </c>
      <c r="F8" s="259" t="s">
        <v>211</v>
      </c>
      <c r="G8" s="373">
        <v>14.1</v>
      </c>
      <c r="H8" s="389">
        <v>13.1</v>
      </c>
      <c r="I8" s="389">
        <v>11.4</v>
      </c>
      <c r="J8" s="390">
        <v>9.85</v>
      </c>
      <c r="K8" s="390">
        <v>8.9</v>
      </c>
      <c r="L8" s="390">
        <v>8.15</v>
      </c>
      <c r="M8" s="390">
        <v>7.35</v>
      </c>
      <c r="N8" s="391">
        <v>7.18</v>
      </c>
      <c r="O8" s="2" t="str">
        <f>'Solution-based'!C11</f>
        <v># BDR Workstation (300 GB of Acronis Hosted Storage included)</v>
      </c>
    </row>
    <row r="9" spans="1:15" ht="15" customHeight="1">
      <c r="A9" s="882"/>
      <c r="B9" s="885"/>
      <c r="C9" s="888"/>
      <c r="D9" s="318" t="s">
        <v>212</v>
      </c>
      <c r="E9" s="120" t="s">
        <v>3</v>
      </c>
      <c r="F9" s="259" t="s">
        <v>213</v>
      </c>
      <c r="G9" s="373">
        <v>4.7</v>
      </c>
      <c r="H9" s="386">
        <v>4.55</v>
      </c>
      <c r="I9" s="386">
        <v>4.2</v>
      </c>
      <c r="J9" s="387">
        <v>3.9</v>
      </c>
      <c r="K9" s="387">
        <v>3.6</v>
      </c>
      <c r="L9" s="387">
        <v>3.45</v>
      </c>
      <c r="M9" s="387">
        <v>3.29</v>
      </c>
      <c r="N9" s="388">
        <v>3.21</v>
      </c>
      <c r="O9" s="2" t="str">
        <f>'Solution-based'!C12</f>
        <v># Microsoft 365 Backup + Archiving (unlimited Acronis Hosted Cloud Storage included*)</v>
      </c>
    </row>
    <row r="10" spans="1:15" ht="15" customHeight="1">
      <c r="A10" s="882"/>
      <c r="B10" s="885"/>
      <c r="C10" s="888"/>
      <c r="D10" s="318" t="s">
        <v>214</v>
      </c>
      <c r="E10" s="120" t="s">
        <v>3</v>
      </c>
      <c r="F10" s="259" t="s">
        <v>215</v>
      </c>
      <c r="G10" s="392">
        <v>3.58</v>
      </c>
      <c r="H10" s="393">
        <v>3.35</v>
      </c>
      <c r="I10" s="394">
        <v>3.12</v>
      </c>
      <c r="J10" s="394">
        <v>2.81</v>
      </c>
      <c r="K10" s="394">
        <v>2.5499999999999998</v>
      </c>
      <c r="L10" s="394">
        <v>2.44</v>
      </c>
      <c r="M10" s="394">
        <v>2.3199999999999998</v>
      </c>
      <c r="N10" s="395">
        <v>2.27</v>
      </c>
      <c r="O10" s="2" t="str">
        <f>'Solution-based'!C13</f>
        <v># Google Workspace Backup (unlimited Acronis Hosted Cloud Storage included*)</v>
      </c>
    </row>
    <row r="11" spans="1:15" ht="15" customHeight="1">
      <c r="A11" s="882"/>
      <c r="B11" s="885"/>
      <c r="C11" s="888"/>
      <c r="D11" s="319" t="s">
        <v>216</v>
      </c>
      <c r="E11" s="120" t="s">
        <v>3</v>
      </c>
      <c r="F11" s="259" t="s">
        <v>217</v>
      </c>
      <c r="G11" s="392">
        <v>3.9000000000000004</v>
      </c>
      <c r="H11" s="393">
        <v>3.6</v>
      </c>
      <c r="I11" s="394">
        <v>3.198</v>
      </c>
      <c r="J11" s="394">
        <v>2.4960000000000004</v>
      </c>
      <c r="K11" s="394">
        <v>2.15</v>
      </c>
      <c r="L11" s="394">
        <v>2.0499999999999998</v>
      </c>
      <c r="M11" s="394">
        <v>1.95</v>
      </c>
      <c r="N11" s="395">
        <v>1.91</v>
      </c>
      <c r="O11" s="2" t="str">
        <f>'Solution-based'!C14</f>
        <v># Website Backup (50 GB of Acronis Hosted Storage included)</v>
      </c>
    </row>
    <row r="12" spans="1:15" ht="15" customHeight="1">
      <c r="A12" s="882"/>
      <c r="B12" s="885"/>
      <c r="C12" s="889"/>
      <c r="D12" s="320" t="s">
        <v>218</v>
      </c>
      <c r="E12" s="116" t="s">
        <v>3</v>
      </c>
      <c r="F12" s="246" t="s">
        <v>219</v>
      </c>
      <c r="G12" s="396">
        <v>3.12</v>
      </c>
      <c r="H12" s="397">
        <v>2.9</v>
      </c>
      <c r="I12" s="398">
        <v>2.58</v>
      </c>
      <c r="J12" s="398">
        <v>2.0299999999999998</v>
      </c>
      <c r="K12" s="398">
        <v>1.67</v>
      </c>
      <c r="L12" s="398">
        <v>1.59</v>
      </c>
      <c r="M12" s="398">
        <v>1.51</v>
      </c>
      <c r="N12" s="399">
        <v>1.47</v>
      </c>
      <c r="O12" s="2" t="str">
        <f>'Solution-based'!C15</f>
        <v># Mobile Backup (50 GB od Acronis Hosted Storage included)</v>
      </c>
    </row>
    <row r="13" spans="1:15" ht="15" customHeight="1">
      <c r="A13" s="882"/>
      <c r="B13" s="885"/>
      <c r="C13" s="890" t="s">
        <v>220</v>
      </c>
      <c r="D13" s="317" t="s">
        <v>221</v>
      </c>
      <c r="E13" s="114" t="s">
        <v>222</v>
      </c>
      <c r="F13" s="245" t="s">
        <v>223</v>
      </c>
      <c r="G13" s="400">
        <v>127.5</v>
      </c>
      <c r="H13" s="401">
        <v>113</v>
      </c>
      <c r="I13" s="401">
        <v>105</v>
      </c>
      <c r="J13" s="390">
        <v>95.5</v>
      </c>
      <c r="K13" s="390">
        <v>88.5</v>
      </c>
      <c r="L13" s="390">
        <v>85</v>
      </c>
      <c r="M13" s="390">
        <v>81.5</v>
      </c>
      <c r="N13" s="391">
        <v>79.7</v>
      </c>
      <c r="O13" s="2" t="str">
        <f>'Solution-based'!C9</f>
        <v># BDR Server (3 TB of Acronis Hosted Storage included)</v>
      </c>
    </row>
    <row r="14" spans="1:15" ht="15" customHeight="1">
      <c r="A14" s="882"/>
      <c r="B14" s="885"/>
      <c r="C14" s="888"/>
      <c r="D14" s="317" t="s">
        <v>224</v>
      </c>
      <c r="E14" s="120" t="s">
        <v>222</v>
      </c>
      <c r="F14" s="259" t="s">
        <v>225</v>
      </c>
      <c r="G14" s="402">
        <v>88.2</v>
      </c>
      <c r="H14" s="386">
        <v>81.2</v>
      </c>
      <c r="I14" s="386">
        <v>74.900000000000006</v>
      </c>
      <c r="J14" s="387">
        <v>67.5</v>
      </c>
      <c r="K14" s="387">
        <v>63.5</v>
      </c>
      <c r="L14" s="387">
        <v>61</v>
      </c>
      <c r="M14" s="387">
        <v>58.5</v>
      </c>
      <c r="N14" s="388">
        <v>57.1</v>
      </c>
      <c r="O14" s="2" t="str">
        <f>'Solution-based'!C10</f>
        <v># BDR Virtual Machine (2 TB of Acronis Hosted Storage included)</v>
      </c>
    </row>
    <row r="15" spans="1:15" ht="15" customHeight="1">
      <c r="A15" s="882"/>
      <c r="B15" s="885"/>
      <c r="C15" s="888"/>
      <c r="D15" s="317" t="s">
        <v>226</v>
      </c>
      <c r="E15" s="114" t="s">
        <v>222</v>
      </c>
      <c r="F15" s="245" t="s">
        <v>227</v>
      </c>
      <c r="G15" s="400">
        <v>17.649999999999999</v>
      </c>
      <c r="H15" s="386">
        <v>16.399999999999999</v>
      </c>
      <c r="I15" s="386">
        <v>14.35</v>
      </c>
      <c r="J15" s="387">
        <v>12.35</v>
      </c>
      <c r="K15" s="387">
        <v>11.2</v>
      </c>
      <c r="L15" s="387">
        <v>10.199999999999999</v>
      </c>
      <c r="M15" s="387">
        <v>9.1999999999999993</v>
      </c>
      <c r="N15" s="388">
        <v>8.98</v>
      </c>
      <c r="O15" s="2" t="str">
        <f>'Solution-based'!C11</f>
        <v># BDR Workstation (300 GB of Acronis Hosted Storage included)</v>
      </c>
    </row>
    <row r="16" spans="1:15" ht="15" customHeight="1">
      <c r="A16" s="882"/>
      <c r="B16" s="885"/>
      <c r="C16" s="888"/>
      <c r="D16" s="318" t="s">
        <v>228</v>
      </c>
      <c r="E16" s="120" t="s">
        <v>222</v>
      </c>
      <c r="F16" s="259" t="s">
        <v>229</v>
      </c>
      <c r="G16" s="400">
        <v>6.4</v>
      </c>
      <c r="H16" s="386">
        <v>6.2</v>
      </c>
      <c r="I16" s="386">
        <v>5.8</v>
      </c>
      <c r="J16" s="387">
        <v>5.3</v>
      </c>
      <c r="K16" s="387">
        <v>4.9000000000000004</v>
      </c>
      <c r="L16" s="387">
        <f>AVERAGE(K16,M16)</f>
        <v>4.6750000000000007</v>
      </c>
      <c r="M16" s="387">
        <v>4.45</v>
      </c>
      <c r="N16" s="388">
        <v>4.3499999999999996</v>
      </c>
      <c r="O16" s="2" t="str">
        <f>'Solution-based'!C12</f>
        <v># Microsoft 365 Backup + Archiving (unlimited Acronis Hosted Cloud Storage included*)</v>
      </c>
    </row>
    <row r="17" spans="1:15" ht="15" customHeight="1">
      <c r="A17" s="882"/>
      <c r="B17" s="885"/>
      <c r="C17" s="888"/>
      <c r="D17" s="318" t="s">
        <v>230</v>
      </c>
      <c r="E17" s="120" t="s">
        <v>222</v>
      </c>
      <c r="F17" s="259" t="s">
        <v>231</v>
      </c>
      <c r="G17" s="392">
        <v>4.8499999999999996</v>
      </c>
      <c r="H17" s="393">
        <v>4.53</v>
      </c>
      <c r="I17" s="394">
        <v>4.2</v>
      </c>
      <c r="J17" s="394">
        <v>3.8</v>
      </c>
      <c r="K17" s="394">
        <v>3.45</v>
      </c>
      <c r="L17" s="394">
        <f>AVERAGE(K17,M17)</f>
        <v>3.3</v>
      </c>
      <c r="M17" s="394">
        <v>3.15</v>
      </c>
      <c r="N17" s="395">
        <v>3.08</v>
      </c>
      <c r="O17" s="2" t="str">
        <f>'Solution-based'!C13</f>
        <v># Google Workspace Backup (unlimited Acronis Hosted Cloud Storage included*)</v>
      </c>
    </row>
    <row r="18" spans="1:15" ht="15" customHeight="1">
      <c r="A18" s="882"/>
      <c r="B18" s="885"/>
      <c r="C18" s="888"/>
      <c r="D18" s="319" t="s">
        <v>232</v>
      </c>
      <c r="E18" s="120" t="s">
        <v>222</v>
      </c>
      <c r="F18" s="259" t="s">
        <v>233</v>
      </c>
      <c r="G18" s="400">
        <v>4.3499999999999996</v>
      </c>
      <c r="H18" s="386">
        <v>4</v>
      </c>
      <c r="I18" s="386">
        <v>3.5</v>
      </c>
      <c r="J18" s="387">
        <v>2.8</v>
      </c>
      <c r="K18" s="387">
        <v>2.37</v>
      </c>
      <c r="L18" s="387">
        <v>2.2599999999999998</v>
      </c>
      <c r="M18" s="387">
        <v>2.15</v>
      </c>
      <c r="N18" s="388">
        <v>2.1</v>
      </c>
      <c r="O18" s="2" t="str">
        <f>'Solution-based'!C14</f>
        <v># Website Backup (50 GB of Acronis Hosted Storage included)</v>
      </c>
    </row>
    <row r="19" spans="1:15" ht="15" customHeight="1" thickBot="1">
      <c r="A19" s="882"/>
      <c r="B19" s="886"/>
      <c r="C19" s="891"/>
      <c r="D19" s="320" t="s">
        <v>234</v>
      </c>
      <c r="E19" s="308" t="s">
        <v>222</v>
      </c>
      <c r="F19" s="360" t="s">
        <v>235</v>
      </c>
      <c r="G19" s="403">
        <v>3.6</v>
      </c>
      <c r="H19" s="404">
        <v>3.3</v>
      </c>
      <c r="I19" s="404">
        <v>2.9</v>
      </c>
      <c r="J19" s="405">
        <v>2.35</v>
      </c>
      <c r="K19" s="405">
        <v>1.9</v>
      </c>
      <c r="L19" s="405">
        <v>1.82</v>
      </c>
      <c r="M19" s="405">
        <v>1.74</v>
      </c>
      <c r="N19" s="406">
        <v>1.7</v>
      </c>
      <c r="O19" s="2" t="str">
        <f>'Solution-based'!C15</f>
        <v># Mobile Backup (50 GB od Acronis Hosted Storage included)</v>
      </c>
    </row>
    <row r="20" spans="1:15" ht="15" customHeight="1">
      <c r="A20" s="881"/>
      <c r="B20" s="884" t="s">
        <v>22</v>
      </c>
      <c r="C20" s="847" t="s">
        <v>205</v>
      </c>
      <c r="D20" s="175" t="s">
        <v>236</v>
      </c>
      <c r="E20" s="114" t="s">
        <v>3</v>
      </c>
      <c r="F20" s="245" t="s">
        <v>237</v>
      </c>
      <c r="G20" s="407">
        <v>110.76</v>
      </c>
      <c r="H20" s="408">
        <v>102.492</v>
      </c>
      <c r="I20" s="408">
        <v>93.132000000000005</v>
      </c>
      <c r="J20" s="409">
        <v>84.396000000000001</v>
      </c>
      <c r="K20" s="409">
        <v>81.12</v>
      </c>
      <c r="L20" s="409">
        <v>78.78</v>
      </c>
      <c r="M20" s="409">
        <v>76.44</v>
      </c>
      <c r="N20" s="410">
        <v>74.63</v>
      </c>
      <c r="O20" s="2" t="str">
        <f>'Solution-based'!C16</f>
        <v># Ultimate Server (3 TB of Acronis Hosted Storage included)</v>
      </c>
    </row>
    <row r="21" spans="1:15" ht="15" customHeight="1">
      <c r="A21" s="881"/>
      <c r="B21" s="885"/>
      <c r="C21" s="848"/>
      <c r="D21" s="175" t="s">
        <v>238</v>
      </c>
      <c r="E21" s="120" t="s">
        <v>3</v>
      </c>
      <c r="F21" s="259" t="s">
        <v>239</v>
      </c>
      <c r="G21" s="373">
        <v>78</v>
      </c>
      <c r="H21" s="374">
        <v>72.695999999999998</v>
      </c>
      <c r="I21" s="386">
        <v>67.703999999999994</v>
      </c>
      <c r="J21" s="387">
        <v>62.556000000000004</v>
      </c>
      <c r="K21" s="387">
        <v>60.84</v>
      </c>
      <c r="L21" s="387">
        <v>59.28</v>
      </c>
      <c r="M21" s="387">
        <v>57.72</v>
      </c>
      <c r="N21" s="388">
        <v>56.35</v>
      </c>
      <c r="O21" s="2" t="str">
        <f>'Solution-based'!C17</f>
        <v># Ultimate Virtual Machine (2 TB of Acronis Hosted Storage included)</v>
      </c>
    </row>
    <row r="22" spans="1:15" ht="15" customHeight="1">
      <c r="A22" s="881"/>
      <c r="B22" s="885"/>
      <c r="C22" s="848"/>
      <c r="D22" s="175" t="s">
        <v>240</v>
      </c>
      <c r="E22" s="120" t="s">
        <v>3</v>
      </c>
      <c r="F22" s="259" t="s">
        <v>241</v>
      </c>
      <c r="G22" s="373">
        <v>21.060000000000002</v>
      </c>
      <c r="H22" s="374">
        <v>18.72</v>
      </c>
      <c r="I22" s="386">
        <v>16.38</v>
      </c>
      <c r="J22" s="387">
        <v>13.884</v>
      </c>
      <c r="K22" s="411">
        <v>12.324000000000002</v>
      </c>
      <c r="L22" s="411">
        <v>11.54</v>
      </c>
      <c r="M22" s="411">
        <v>10.764000000000001</v>
      </c>
      <c r="N22" s="412">
        <v>10.51</v>
      </c>
      <c r="O22" s="2" t="str">
        <f>'Solution-based'!C18</f>
        <v># Ultimate Workstation (300 GB of Acronis Hosted Storage included)</v>
      </c>
    </row>
    <row r="23" spans="1:15" ht="15" customHeight="1">
      <c r="A23" s="881"/>
      <c r="B23" s="885"/>
      <c r="C23" s="848"/>
      <c r="D23" s="176" t="s">
        <v>242</v>
      </c>
      <c r="E23" s="120" t="s">
        <v>3</v>
      </c>
      <c r="F23" s="259" t="s">
        <v>243</v>
      </c>
      <c r="G23" s="413">
        <v>12.792</v>
      </c>
      <c r="H23" s="414">
        <v>12.012</v>
      </c>
      <c r="I23" s="387">
        <v>11.388</v>
      </c>
      <c r="J23" s="387">
        <v>10.452</v>
      </c>
      <c r="K23" s="411">
        <v>9.6720000000000006</v>
      </c>
      <c r="L23" s="411">
        <v>9.36</v>
      </c>
      <c r="M23" s="411">
        <v>9.048</v>
      </c>
      <c r="N23" s="412">
        <v>8.83</v>
      </c>
      <c r="O23" s="2" t="str">
        <f>'Solution-based'!C19</f>
        <v># Ultimate Microsoft 365 (unlimited Acronis Hosted Cloud Storage included*)</v>
      </c>
    </row>
    <row r="24" spans="1:15" ht="15" customHeight="1">
      <c r="A24" s="881"/>
      <c r="B24" s="885"/>
      <c r="C24" s="849"/>
      <c r="D24" s="312" t="s">
        <v>244</v>
      </c>
      <c r="E24" s="116" t="s">
        <v>3</v>
      </c>
      <c r="F24" s="246" t="s">
        <v>245</v>
      </c>
      <c r="G24" s="415">
        <v>7.0200000000000005</v>
      </c>
      <c r="H24" s="416">
        <v>6.5520000000000005</v>
      </c>
      <c r="I24" s="405">
        <v>6.0839999999999996</v>
      </c>
      <c r="J24" s="405">
        <v>5.6160000000000005</v>
      </c>
      <c r="K24" s="405">
        <v>5.3040000000000003</v>
      </c>
      <c r="L24" s="405">
        <v>5.15</v>
      </c>
      <c r="M24" s="405">
        <v>4.9920000000000009</v>
      </c>
      <c r="N24" s="406">
        <v>4.87</v>
      </c>
      <c r="O24" s="2" t="str">
        <f>'Solution-based'!C20</f>
        <v># Ultimate Google Workspace (unlimited Acronis Hosted Cloud Storage included*)</v>
      </c>
    </row>
    <row r="25" spans="1:15" ht="15" customHeight="1">
      <c r="A25" s="881"/>
      <c r="B25" s="885"/>
      <c r="C25" s="850" t="s">
        <v>220</v>
      </c>
      <c r="D25" s="175" t="s">
        <v>246</v>
      </c>
      <c r="E25" s="114" t="s">
        <v>222</v>
      </c>
      <c r="F25" s="245" t="s">
        <v>247</v>
      </c>
      <c r="G25" s="417">
        <v>136.5</v>
      </c>
      <c r="H25" s="389">
        <v>125.268</v>
      </c>
      <c r="I25" s="389">
        <v>114.348</v>
      </c>
      <c r="J25" s="389">
        <v>103.428</v>
      </c>
      <c r="K25" s="389">
        <v>99.216000000000008</v>
      </c>
      <c r="L25" s="389">
        <v>96.41</v>
      </c>
      <c r="M25" s="389">
        <v>93.600000000000009</v>
      </c>
      <c r="N25" s="418">
        <v>91.35</v>
      </c>
      <c r="O25" s="2" t="str">
        <f>'Solution-based'!C16</f>
        <v># Ultimate Server (3 TB of Acronis Hosted Storage included)</v>
      </c>
    </row>
    <row r="26" spans="1:15" ht="15" customHeight="1">
      <c r="A26" s="881"/>
      <c r="B26" s="885"/>
      <c r="C26" s="848"/>
      <c r="D26" s="175" t="s">
        <v>248</v>
      </c>
      <c r="E26" s="120" t="s">
        <v>222</v>
      </c>
      <c r="F26" s="259" t="s">
        <v>249</v>
      </c>
      <c r="G26" s="417">
        <v>95.94</v>
      </c>
      <c r="H26" s="374">
        <v>89.232000000000014</v>
      </c>
      <c r="I26" s="374">
        <v>82.992000000000004</v>
      </c>
      <c r="J26" s="374">
        <v>76.44</v>
      </c>
      <c r="K26" s="374">
        <v>74.567999999999998</v>
      </c>
      <c r="L26" s="374">
        <v>72.540000000000006</v>
      </c>
      <c r="M26" s="374">
        <v>70.512</v>
      </c>
      <c r="N26" s="419">
        <v>68.83</v>
      </c>
      <c r="O26" s="2" t="str">
        <f>'Solution-based'!C17</f>
        <v># Ultimate Virtual Machine (2 TB of Acronis Hosted Storage included)</v>
      </c>
    </row>
    <row r="27" spans="1:15" ht="15" customHeight="1">
      <c r="A27" s="881"/>
      <c r="B27" s="885"/>
      <c r="C27" s="848"/>
      <c r="D27" s="175" t="s">
        <v>250</v>
      </c>
      <c r="E27" s="114" t="s">
        <v>222</v>
      </c>
      <c r="F27" s="245" t="s">
        <v>251</v>
      </c>
      <c r="G27" s="417">
        <v>25.271999999999998</v>
      </c>
      <c r="H27" s="374">
        <v>22.62</v>
      </c>
      <c r="I27" s="374">
        <v>19.812000000000001</v>
      </c>
      <c r="J27" s="374">
        <v>16.692</v>
      </c>
      <c r="K27" s="374">
        <v>14.82</v>
      </c>
      <c r="L27" s="374">
        <v>13.88</v>
      </c>
      <c r="M27" s="374">
        <v>12.948000000000002</v>
      </c>
      <c r="N27" s="419">
        <v>12.64</v>
      </c>
      <c r="O27" s="2" t="str">
        <f>'Solution-based'!C18</f>
        <v># Ultimate Workstation (300 GB of Acronis Hosted Storage included)</v>
      </c>
    </row>
    <row r="28" spans="1:15" ht="15" customHeight="1">
      <c r="A28" s="881"/>
      <c r="B28" s="885"/>
      <c r="C28" s="848"/>
      <c r="D28" s="176" t="s">
        <v>252</v>
      </c>
      <c r="E28" s="120" t="s">
        <v>222</v>
      </c>
      <c r="F28" s="259" t="s">
        <v>253</v>
      </c>
      <c r="G28" s="413">
        <v>14.82</v>
      </c>
      <c r="H28" s="374">
        <v>13.884</v>
      </c>
      <c r="I28" s="374">
        <v>13.26</v>
      </c>
      <c r="J28" s="374">
        <v>12.09</v>
      </c>
      <c r="K28" s="374">
        <v>11.154000000000002</v>
      </c>
      <c r="L28" s="374">
        <v>10.8</v>
      </c>
      <c r="M28" s="374">
        <v>10.452</v>
      </c>
      <c r="N28" s="419">
        <v>10.199999999999999</v>
      </c>
      <c r="O28" s="2" t="str">
        <f>'Solution-based'!C19</f>
        <v># Ultimate Microsoft 365 (unlimited Acronis Hosted Cloud Storage included*)</v>
      </c>
    </row>
    <row r="29" spans="1:15" ht="15" customHeight="1">
      <c r="A29" s="881"/>
      <c r="B29" s="892"/>
      <c r="C29" s="849"/>
      <c r="D29" s="176" t="s">
        <v>254</v>
      </c>
      <c r="E29" s="247" t="s">
        <v>222</v>
      </c>
      <c r="F29" s="248" t="s">
        <v>255</v>
      </c>
      <c r="G29" s="415">
        <v>8.3460000000000001</v>
      </c>
      <c r="H29" s="420">
        <v>7.8000000000000007</v>
      </c>
      <c r="I29" s="420">
        <v>7.2540000000000004</v>
      </c>
      <c r="J29" s="420">
        <v>6.7080000000000002</v>
      </c>
      <c r="K29" s="420">
        <v>6.24</v>
      </c>
      <c r="L29" s="420">
        <v>6.08</v>
      </c>
      <c r="M29" s="420">
        <v>5.9279999999999999</v>
      </c>
      <c r="N29" s="421">
        <v>5.79</v>
      </c>
      <c r="O29" s="2" t="str">
        <f>'Solution-based'!C20</f>
        <v># Ultimate Google Workspace (unlimited Acronis Hosted Cloud Storage included*)</v>
      </c>
    </row>
    <row r="30" spans="1:15" ht="15" customHeight="1">
      <c r="A30" s="881"/>
      <c r="B30" s="864" t="s">
        <v>28</v>
      </c>
      <c r="C30" s="865"/>
      <c r="D30" s="310" t="s">
        <v>256</v>
      </c>
      <c r="E30" s="311" t="s">
        <v>198</v>
      </c>
      <c r="F30" s="315" t="s">
        <v>257</v>
      </c>
      <c r="G30" s="422">
        <v>5</v>
      </c>
      <c r="H30" s="423">
        <v>4.8499999999999996</v>
      </c>
      <c r="I30" s="423">
        <v>4.7</v>
      </c>
      <c r="J30" s="423">
        <v>4.5</v>
      </c>
      <c r="K30" s="423">
        <v>4.3499999999999996</v>
      </c>
      <c r="L30" s="423">
        <v>4.33</v>
      </c>
      <c r="M30" s="423">
        <v>4.3</v>
      </c>
      <c r="N30" s="424">
        <v>4.2</v>
      </c>
      <c r="O30" s="2" t="str">
        <f>'Solution-based'!C21</f>
        <v># Standard MDR Workloads for Base Licensing (Servers, VMs, Workstations, Hosting Servers)</v>
      </c>
    </row>
    <row r="31" spans="1:15" ht="15" customHeight="1">
      <c r="A31" s="881"/>
      <c r="B31" s="866"/>
      <c r="C31" s="867"/>
      <c r="D31" s="312" t="s">
        <v>258</v>
      </c>
      <c r="E31" s="308" t="s">
        <v>198</v>
      </c>
      <c r="F31" s="360" t="s">
        <v>259</v>
      </c>
      <c r="G31" s="396">
        <v>10</v>
      </c>
      <c r="H31" s="398">
        <v>9.6999999999999993</v>
      </c>
      <c r="I31" s="398">
        <v>9.4</v>
      </c>
      <c r="J31" s="398">
        <v>9</v>
      </c>
      <c r="K31" s="398">
        <v>8.6999999999999993</v>
      </c>
      <c r="L31" s="398">
        <v>8.66</v>
      </c>
      <c r="M31" s="398">
        <v>8.6</v>
      </c>
      <c r="N31" s="399">
        <v>8.4</v>
      </c>
      <c r="O31" s="2" t="str">
        <f>'Solution-based'!C22</f>
        <v># Advanced MDR Workloads for Base Licensing (Servers, VMs, Workstations, Hosting Servers)</v>
      </c>
    </row>
    <row r="32" spans="1:15" ht="15" customHeight="1">
      <c r="A32" s="881"/>
      <c r="B32" s="868" t="s">
        <v>32</v>
      </c>
      <c r="C32" s="869"/>
      <c r="D32" s="309" t="s">
        <v>260</v>
      </c>
      <c r="E32" s="249" t="s">
        <v>198</v>
      </c>
      <c r="F32" s="250" t="s">
        <v>261</v>
      </c>
      <c r="G32" s="425">
        <v>2.15</v>
      </c>
      <c r="H32" s="426">
        <v>2</v>
      </c>
      <c r="I32" s="427">
        <v>1.8</v>
      </c>
      <c r="J32" s="427">
        <v>1.55</v>
      </c>
      <c r="K32" s="427">
        <v>1.4</v>
      </c>
      <c r="L32" s="427">
        <v>1.33</v>
      </c>
      <c r="M32" s="427">
        <v>1.25</v>
      </c>
      <c r="N32" s="428">
        <v>1.22</v>
      </c>
      <c r="O32" s="2" t="str">
        <f>'Solution-based'!C23</f>
        <v># Security Awareness Training for Solution-based Licensing (Users)</v>
      </c>
    </row>
    <row r="33" spans="1:15" ht="15" customHeight="1">
      <c r="A33" s="881"/>
      <c r="B33" s="864" t="s">
        <v>262</v>
      </c>
      <c r="C33" s="865"/>
      <c r="D33" s="310" t="s">
        <v>263</v>
      </c>
      <c r="E33" s="311" t="s">
        <v>3</v>
      </c>
      <c r="F33" s="315" t="s">
        <v>264</v>
      </c>
      <c r="G33" s="429">
        <v>7.5999999999999998E-2</v>
      </c>
      <c r="H33" s="430">
        <v>6.8500000000000005E-2</v>
      </c>
      <c r="I33" s="431">
        <v>6.1499999999999999E-2</v>
      </c>
      <c r="J33" s="431">
        <v>0.05</v>
      </c>
      <c r="K33" s="431">
        <v>4.5499999999999999E-2</v>
      </c>
      <c r="L33" s="431">
        <v>4.3400000000000001E-2</v>
      </c>
      <c r="M33" s="431">
        <v>4.1200000000000001E-2</v>
      </c>
      <c r="N33" s="432">
        <v>4.02E-2</v>
      </c>
      <c r="O33" s="2" t="str">
        <f>'Solution-based'!C24</f>
        <v>Acronis Cloud Storage at Acronis Datacenter (for Solution-based Licensing overages)</v>
      </c>
    </row>
    <row r="34" spans="1:15" ht="15" customHeight="1">
      <c r="A34" s="881"/>
      <c r="B34" s="866"/>
      <c r="C34" s="867"/>
      <c r="D34" s="312" t="s">
        <v>265</v>
      </c>
      <c r="E34" s="308" t="s">
        <v>222</v>
      </c>
      <c r="F34" s="360" t="s">
        <v>266</v>
      </c>
      <c r="G34" s="433">
        <v>9.8000000000000004E-2</v>
      </c>
      <c r="H34" s="434">
        <v>8.7499999999999994E-2</v>
      </c>
      <c r="I34" s="435">
        <v>7.6999999999999999E-2</v>
      </c>
      <c r="J34" s="435">
        <v>6.25E-2</v>
      </c>
      <c r="K34" s="435">
        <v>5.67E-2</v>
      </c>
      <c r="L34" s="435">
        <v>5.4099999999999995E-2</v>
      </c>
      <c r="M34" s="435">
        <v>5.1499999999999997E-2</v>
      </c>
      <c r="N34" s="436">
        <v>5.0299999999999997E-2</v>
      </c>
      <c r="O34" s="2" t="str">
        <f>'Solution-based'!C24</f>
        <v>Acronis Cloud Storage at Acronis Datacenter (for Solution-based Licensing overages)</v>
      </c>
    </row>
    <row r="35" spans="1:15" ht="15" customHeight="1">
      <c r="A35" s="881"/>
      <c r="B35" s="864" t="s">
        <v>267</v>
      </c>
      <c r="C35" s="865"/>
      <c r="D35" s="256" t="s">
        <v>268</v>
      </c>
      <c r="E35" s="114" t="s">
        <v>3</v>
      </c>
      <c r="F35" s="245" t="s">
        <v>269</v>
      </c>
      <c r="G35" s="437">
        <v>5.7500000000000002E-2</v>
      </c>
      <c r="H35" s="438">
        <v>5.1499999999999997E-2</v>
      </c>
      <c r="I35" s="439">
        <v>4.58E-2</v>
      </c>
      <c r="J35" s="439">
        <v>3.7999999999999999E-2</v>
      </c>
      <c r="K35" s="439">
        <v>3.4000000000000002E-2</v>
      </c>
      <c r="L35" s="439">
        <v>3.2500000000000001E-2</v>
      </c>
      <c r="M35" s="439">
        <v>3.1E-2</v>
      </c>
      <c r="N35" s="440">
        <v>3.0200000000000001E-2</v>
      </c>
      <c r="O35" s="2" t="s">
        <v>270</v>
      </c>
    </row>
    <row r="36" spans="1:15" ht="15" customHeight="1">
      <c r="A36" s="881"/>
      <c r="B36" s="874"/>
      <c r="C36" s="875"/>
      <c r="D36" s="256" t="s">
        <v>271</v>
      </c>
      <c r="E36" s="114" t="s">
        <v>3</v>
      </c>
      <c r="F36" s="259" t="s">
        <v>272</v>
      </c>
      <c r="G36" s="441">
        <v>2.69</v>
      </c>
      <c r="H36" s="442">
        <v>2.5150000000000001</v>
      </c>
      <c r="I36" s="443">
        <v>2.34</v>
      </c>
      <c r="J36" s="443">
        <v>2.11</v>
      </c>
      <c r="K36" s="443">
        <v>1.92</v>
      </c>
      <c r="L36" s="443">
        <v>1.835</v>
      </c>
      <c r="M36" s="443">
        <v>1.7450000000000001</v>
      </c>
      <c r="N36" s="444">
        <v>1.7030000000000001</v>
      </c>
      <c r="O36" s="2" t="s">
        <v>273</v>
      </c>
    </row>
    <row r="37" spans="1:15" ht="15" customHeight="1">
      <c r="A37" s="881"/>
      <c r="B37" s="866"/>
      <c r="C37" s="867"/>
      <c r="D37" s="254" t="s">
        <v>274</v>
      </c>
      <c r="E37" s="308" t="s">
        <v>3</v>
      </c>
      <c r="F37" s="246" t="s">
        <v>275</v>
      </c>
      <c r="G37" s="445">
        <v>2.69</v>
      </c>
      <c r="H37" s="446">
        <v>2.5150000000000001</v>
      </c>
      <c r="I37" s="447">
        <v>2.34</v>
      </c>
      <c r="J37" s="447">
        <v>2.11</v>
      </c>
      <c r="K37" s="447">
        <v>1.92</v>
      </c>
      <c r="L37" s="447">
        <v>1.835</v>
      </c>
      <c r="M37" s="447">
        <v>1.7450000000000001</v>
      </c>
      <c r="N37" s="448">
        <v>1.7030000000000001</v>
      </c>
      <c r="O37" s="2" t="s">
        <v>276</v>
      </c>
    </row>
    <row r="38" spans="1:15" ht="15" customHeight="1">
      <c r="A38" s="881"/>
      <c r="B38" s="864" t="s">
        <v>38</v>
      </c>
      <c r="C38" s="865"/>
      <c r="D38" s="175" t="s">
        <v>277</v>
      </c>
      <c r="E38" s="114" t="s">
        <v>198</v>
      </c>
      <c r="F38" s="245" t="s">
        <v>278</v>
      </c>
      <c r="G38" s="449">
        <v>9.9999999999999992E-2</v>
      </c>
      <c r="H38" s="450">
        <v>8.7999999999999995E-2</v>
      </c>
      <c r="I38" s="451">
        <v>7.4999999999999997E-2</v>
      </c>
      <c r="J38" s="451">
        <v>6.9999999999999993E-2</v>
      </c>
      <c r="K38" s="452">
        <v>6.0000000000000005E-2</v>
      </c>
      <c r="L38" s="452">
        <v>5.7000000000000009E-2</v>
      </c>
      <c r="M38" s="452">
        <v>5.4000000000000006E-2</v>
      </c>
      <c r="N38" s="453">
        <v>5.2999999999999999E-2</v>
      </c>
      <c r="O38" s="2" t="s">
        <v>279</v>
      </c>
    </row>
    <row r="39" spans="1:15" ht="15" customHeight="1" thickBot="1">
      <c r="A39" s="883"/>
      <c r="B39" s="870"/>
      <c r="C39" s="871"/>
      <c r="D39" s="178" t="s">
        <v>280</v>
      </c>
      <c r="E39" s="115" t="s">
        <v>198</v>
      </c>
      <c r="F39" s="306" t="s">
        <v>281</v>
      </c>
      <c r="G39" s="454">
        <v>4.6500000000000004</v>
      </c>
      <c r="H39" s="455">
        <v>4.08</v>
      </c>
      <c r="I39" s="456">
        <v>3.5</v>
      </c>
      <c r="J39" s="456">
        <v>3.1</v>
      </c>
      <c r="K39" s="394">
        <v>2.7</v>
      </c>
      <c r="L39" s="394">
        <v>2.57</v>
      </c>
      <c r="M39" s="394">
        <v>2.4300000000000002</v>
      </c>
      <c r="N39" s="395">
        <v>2.37</v>
      </c>
      <c r="O39" s="2" t="s">
        <v>282</v>
      </c>
    </row>
    <row r="40" spans="1:15" ht="18.600000000000001" customHeight="1" thickBot="1">
      <c r="A40" s="908" t="s">
        <v>283</v>
      </c>
      <c r="B40" s="856" t="s">
        <v>284</v>
      </c>
      <c r="C40" s="857"/>
      <c r="D40" s="242" t="s">
        <v>285</v>
      </c>
      <c r="E40" s="243" t="s">
        <v>198</v>
      </c>
      <c r="F40" s="244" t="s">
        <v>286</v>
      </c>
      <c r="G40" s="457">
        <v>0</v>
      </c>
      <c r="H40" s="458">
        <v>0</v>
      </c>
      <c r="I40" s="459">
        <v>0</v>
      </c>
      <c r="J40" s="459">
        <v>0</v>
      </c>
      <c r="K40" s="460">
        <v>0</v>
      </c>
      <c r="L40" s="460">
        <v>0</v>
      </c>
      <c r="M40" s="460">
        <v>0</v>
      </c>
      <c r="N40" s="461">
        <v>0</v>
      </c>
      <c r="O40" s="2"/>
    </row>
    <row r="41" spans="1:15" ht="14.45" customHeight="1">
      <c r="A41" s="909"/>
      <c r="B41" s="851" t="s">
        <v>46</v>
      </c>
      <c r="C41" s="852"/>
      <c r="D41" s="174" t="s">
        <v>287</v>
      </c>
      <c r="E41" s="119" t="s">
        <v>198</v>
      </c>
      <c r="F41" s="258" t="s">
        <v>288</v>
      </c>
      <c r="G41" s="462">
        <v>1.55</v>
      </c>
      <c r="H41" s="463">
        <v>1.4</v>
      </c>
      <c r="I41" s="464">
        <v>1.2400000000000002</v>
      </c>
      <c r="J41" s="464">
        <v>1.08</v>
      </c>
      <c r="K41" s="464">
        <v>0.96</v>
      </c>
      <c r="L41" s="464">
        <v>0.92</v>
      </c>
      <c r="M41" s="464">
        <v>0.87</v>
      </c>
      <c r="N41" s="465">
        <v>0.85</v>
      </c>
      <c r="O41" s="2" t="str">
        <f>'Service-based'!C6</f>
        <v># Endpoint Detection and Response (EDR) Workloads (Servers, VMs, Workstations, Hosting Servers)</v>
      </c>
    </row>
    <row r="42" spans="1:15" ht="14.45" customHeight="1">
      <c r="A42" s="909"/>
      <c r="B42" s="839"/>
      <c r="C42" s="853"/>
      <c r="D42" s="175" t="s">
        <v>289</v>
      </c>
      <c r="E42" s="120" t="s">
        <v>198</v>
      </c>
      <c r="F42" s="259" t="s">
        <v>290</v>
      </c>
      <c r="G42" s="377">
        <v>2.64</v>
      </c>
      <c r="H42" s="466">
        <v>2.38</v>
      </c>
      <c r="I42" s="466">
        <v>2.11</v>
      </c>
      <c r="J42" s="466">
        <v>1.84</v>
      </c>
      <c r="K42" s="466">
        <v>1.63</v>
      </c>
      <c r="L42" s="466">
        <v>1.56</v>
      </c>
      <c r="M42" s="466">
        <v>1.48</v>
      </c>
      <c r="N42" s="467">
        <v>1.45</v>
      </c>
      <c r="O42" s="2" t="str">
        <f>'Service-based'!C7</f>
        <v># Extended Detection and Response (XDR) Workloads (Servers, VMs, Workstations, Hosting Servers)</v>
      </c>
    </row>
    <row r="43" spans="1:15" ht="18.600000000000001" customHeight="1">
      <c r="A43" s="909"/>
      <c r="B43" s="839"/>
      <c r="C43" s="853"/>
      <c r="D43" s="176" t="s">
        <v>291</v>
      </c>
      <c r="E43" s="120" t="s">
        <v>198</v>
      </c>
      <c r="F43" s="259" t="s">
        <v>292</v>
      </c>
      <c r="G43" s="422">
        <v>5</v>
      </c>
      <c r="H43" s="423">
        <v>4.8499999999999996</v>
      </c>
      <c r="I43" s="423">
        <v>4.7</v>
      </c>
      <c r="J43" s="423">
        <v>4.5</v>
      </c>
      <c r="K43" s="423">
        <v>4.3499999999999996</v>
      </c>
      <c r="L43" s="423">
        <v>4.33</v>
      </c>
      <c r="M43" s="423">
        <v>4.3</v>
      </c>
      <c r="N43" s="424">
        <v>4.2</v>
      </c>
      <c r="O43" s="2" t="str">
        <f>'Service-based'!C8</f>
        <v># Managed Detection and Response Workloads - Standard (Servers, VMs, Workstations, Hosting Servers)</v>
      </c>
    </row>
    <row r="44" spans="1:15" ht="18.600000000000001" customHeight="1">
      <c r="A44" s="909"/>
      <c r="B44" s="839"/>
      <c r="C44" s="853"/>
      <c r="D44" s="176" t="s">
        <v>293</v>
      </c>
      <c r="E44" s="120" t="s">
        <v>198</v>
      </c>
      <c r="F44" s="259" t="s">
        <v>294</v>
      </c>
      <c r="G44" s="396">
        <v>10</v>
      </c>
      <c r="H44" s="398">
        <v>9.6999999999999993</v>
      </c>
      <c r="I44" s="398">
        <v>9.4</v>
      </c>
      <c r="J44" s="398">
        <v>9</v>
      </c>
      <c r="K44" s="398">
        <v>8.6999999999999993</v>
      </c>
      <c r="L44" s="398">
        <v>8.66</v>
      </c>
      <c r="M44" s="398">
        <v>8.6</v>
      </c>
      <c r="N44" s="399">
        <v>8.4</v>
      </c>
      <c r="O44" s="2" t="str">
        <f>'Service-based'!C9</f>
        <v># Managed Detection and Response Workloads - Advanced (Servers, VMs, Workstations, Hosting Servers)</v>
      </c>
    </row>
    <row r="45" spans="1:15" ht="18.95" customHeight="1">
      <c r="A45" s="909"/>
      <c r="B45" s="841"/>
      <c r="C45" s="854"/>
      <c r="D45" s="312" t="s">
        <v>295</v>
      </c>
      <c r="E45" s="116" t="s">
        <v>198</v>
      </c>
      <c r="F45" s="246" t="s">
        <v>296</v>
      </c>
      <c r="G45" s="425">
        <v>3.85</v>
      </c>
      <c r="H45" s="426">
        <v>3.48</v>
      </c>
      <c r="I45" s="427">
        <v>3.1</v>
      </c>
      <c r="J45" s="427">
        <v>2.7</v>
      </c>
      <c r="K45" s="427">
        <v>2.4</v>
      </c>
      <c r="L45" s="427">
        <v>2.35</v>
      </c>
      <c r="M45" s="427">
        <v>2.29</v>
      </c>
      <c r="N45" s="428">
        <v>2.2400000000000002</v>
      </c>
      <c r="O45" s="2" t="str">
        <f>'Service-based'!C10</f>
        <v># Data Loss Prevention Workloads (Servers, VMs, Workstations, Hosting Servers)</v>
      </c>
    </row>
    <row r="46" spans="1:15" ht="14.45" customHeight="1">
      <c r="A46" s="909"/>
      <c r="B46" s="837" t="s">
        <v>53</v>
      </c>
      <c r="C46" s="838"/>
      <c r="D46" s="310" t="s">
        <v>297</v>
      </c>
      <c r="E46" s="311" t="s">
        <v>198</v>
      </c>
      <c r="F46" s="315" t="s">
        <v>298</v>
      </c>
      <c r="G46" s="377">
        <v>3.34</v>
      </c>
      <c r="H46" s="378">
        <v>3.16</v>
      </c>
      <c r="I46" s="378">
        <v>2.97</v>
      </c>
      <c r="J46" s="378">
        <v>2.69</v>
      </c>
      <c r="K46" s="378">
        <v>2.64</v>
      </c>
      <c r="L46" s="378">
        <v>2.62</v>
      </c>
      <c r="M46" s="378">
        <v>2.59</v>
      </c>
      <c r="N46" s="379">
        <v>2.5299999999999998</v>
      </c>
      <c r="O46" s="2" t="str">
        <f>'Service-based'!C11</f>
        <v># Email Security Users</v>
      </c>
    </row>
    <row r="47" spans="1:15" ht="17.100000000000001" customHeight="1">
      <c r="A47" s="909"/>
      <c r="B47" s="839"/>
      <c r="C47" s="840"/>
      <c r="D47" s="176" t="s">
        <v>299</v>
      </c>
      <c r="E47" s="120" t="s">
        <v>198</v>
      </c>
      <c r="F47" s="259" t="s">
        <v>300</v>
      </c>
      <c r="G47" s="396">
        <v>2.0499999999999998</v>
      </c>
      <c r="H47" s="398">
        <v>1.98</v>
      </c>
      <c r="I47" s="398">
        <v>1.9</v>
      </c>
      <c r="J47" s="398">
        <v>1.75</v>
      </c>
      <c r="K47" s="398">
        <v>1.67</v>
      </c>
      <c r="L47" s="398">
        <v>1.64</v>
      </c>
      <c r="M47" s="398">
        <v>1.6</v>
      </c>
      <c r="N47" s="399">
        <v>1.58</v>
      </c>
      <c r="O47" s="2" t="str">
        <f>'Service-based'!C12</f>
        <v># Collaboration Security Users</v>
      </c>
    </row>
    <row r="48" spans="1:15" ht="17.100000000000001" customHeight="1">
      <c r="A48" s="909"/>
      <c r="B48" s="841"/>
      <c r="C48" s="842"/>
      <c r="D48" s="312" t="s">
        <v>301</v>
      </c>
      <c r="E48" s="116" t="s">
        <v>198</v>
      </c>
      <c r="F48" s="246" t="s">
        <v>302</v>
      </c>
      <c r="G48" s="396">
        <v>1.85</v>
      </c>
      <c r="H48" s="398">
        <v>1.82</v>
      </c>
      <c r="I48" s="398">
        <v>1.78</v>
      </c>
      <c r="J48" s="398">
        <v>1.63</v>
      </c>
      <c r="K48" s="398">
        <v>1.47</v>
      </c>
      <c r="L48" s="398">
        <v>1.4</v>
      </c>
      <c r="M48" s="398">
        <v>1.32</v>
      </c>
      <c r="N48" s="399">
        <v>1.29</v>
      </c>
      <c r="O48" s="2" t="str">
        <f>'Service-based'!C13</f>
        <v># SaaS Security Posture Management Workloads (Microsoft 365 Seats)</v>
      </c>
    </row>
    <row r="49" spans="1:15" ht="17.100000000000001" customHeight="1">
      <c r="A49" s="909"/>
      <c r="B49" s="843" t="s">
        <v>32</v>
      </c>
      <c r="C49" s="844"/>
      <c r="D49" s="322" t="s">
        <v>303</v>
      </c>
      <c r="E49" s="249" t="s">
        <v>198</v>
      </c>
      <c r="F49" s="250" t="s">
        <v>304</v>
      </c>
      <c r="G49" s="425">
        <v>2.15</v>
      </c>
      <c r="H49" s="426">
        <v>2</v>
      </c>
      <c r="I49" s="427">
        <v>1.8</v>
      </c>
      <c r="J49" s="427">
        <v>1.55</v>
      </c>
      <c r="K49" s="427">
        <v>1.4</v>
      </c>
      <c r="L49" s="427">
        <v>1.4</v>
      </c>
      <c r="M49" s="427">
        <v>1.25</v>
      </c>
      <c r="N49" s="428">
        <v>1.22</v>
      </c>
      <c r="O49" s="2" t="str">
        <f>'Service-based'!C14</f>
        <v># Security Awareness Training (Users)</v>
      </c>
    </row>
    <row r="50" spans="1:15" ht="17.100000000000001" customHeight="1">
      <c r="A50" s="909"/>
      <c r="B50" s="837" t="s">
        <v>305</v>
      </c>
      <c r="C50" s="838"/>
      <c r="D50" s="309" t="s">
        <v>306</v>
      </c>
      <c r="E50" s="249" t="s">
        <v>198</v>
      </c>
      <c r="F50" s="250" t="s">
        <v>307</v>
      </c>
      <c r="G50" s="377">
        <v>2.95</v>
      </c>
      <c r="H50" s="378">
        <v>2.64</v>
      </c>
      <c r="I50" s="378">
        <v>2.33</v>
      </c>
      <c r="J50" s="378">
        <v>1.76</v>
      </c>
      <c r="K50" s="378">
        <v>1.55</v>
      </c>
      <c r="L50" s="378">
        <v>1.48</v>
      </c>
      <c r="M50" s="378">
        <v>1.4</v>
      </c>
      <c r="N50" s="379">
        <v>1.37</v>
      </c>
      <c r="O50" t="str">
        <f>'Service-based'!C15</f>
        <v># Remote Monitoring and Management (RMM) Workloads (Servers, VMs, Workstations, Hosting Servers)</v>
      </c>
    </row>
    <row r="51" spans="1:15" ht="17.100000000000001" customHeight="1" thickBot="1">
      <c r="A51" s="909"/>
      <c r="B51" s="906" t="s">
        <v>308</v>
      </c>
      <c r="C51" s="907"/>
      <c r="D51" s="323" t="s">
        <v>309</v>
      </c>
      <c r="E51" s="114" t="s">
        <v>198</v>
      </c>
      <c r="F51" s="245" t="s">
        <v>310</v>
      </c>
      <c r="G51" s="468">
        <v>78</v>
      </c>
      <c r="H51" s="469">
        <v>75</v>
      </c>
      <c r="I51" s="470">
        <v>71</v>
      </c>
      <c r="J51" s="470">
        <v>68</v>
      </c>
      <c r="K51" s="470">
        <v>65</v>
      </c>
      <c r="L51" s="470">
        <v>63.5</v>
      </c>
      <c r="M51" s="470">
        <v>62</v>
      </c>
      <c r="N51" s="471">
        <v>60.5</v>
      </c>
      <c r="O51" s="2" t="str">
        <f>'Service-based'!C16</f>
        <v># Professional Services Automation (PSA) users (3 minimum)</v>
      </c>
    </row>
    <row r="52" spans="1:15" ht="15" customHeight="1">
      <c r="A52" s="909"/>
      <c r="B52" s="908" t="s">
        <v>62</v>
      </c>
      <c r="C52" s="855" t="s">
        <v>107</v>
      </c>
      <c r="D52" s="174" t="s">
        <v>311</v>
      </c>
      <c r="E52" s="119" t="s">
        <v>3</v>
      </c>
      <c r="F52" s="258" t="s">
        <v>312</v>
      </c>
      <c r="G52" s="472">
        <v>0.19500000000000001</v>
      </c>
      <c r="H52" s="473">
        <v>0.17100000000000001</v>
      </c>
      <c r="I52" s="474">
        <v>0.14749999999999999</v>
      </c>
      <c r="J52" s="475">
        <v>0.13600000000000001</v>
      </c>
      <c r="K52" s="475">
        <v>0.125</v>
      </c>
      <c r="L52" s="474">
        <v>0.1195</v>
      </c>
      <c r="M52" s="474">
        <v>0.1135</v>
      </c>
      <c r="N52" s="476">
        <v>0.10829999999999999</v>
      </c>
      <c r="O52" s="2" t="str">
        <f>'Service-based'!C31</f>
        <v>Acronis Cloud Storage at Acronis Datacenter (for Per GB model)</v>
      </c>
    </row>
    <row r="53" spans="1:15" ht="14.45" customHeight="1">
      <c r="A53" s="909"/>
      <c r="B53" s="909"/>
      <c r="C53" s="835"/>
      <c r="D53" s="175" t="s">
        <v>313</v>
      </c>
      <c r="E53" s="120" t="s">
        <v>222</v>
      </c>
      <c r="F53" s="259" t="s">
        <v>314</v>
      </c>
      <c r="G53" s="477">
        <v>0.22750000000000001</v>
      </c>
      <c r="H53" s="478">
        <v>0.20300000000000001</v>
      </c>
      <c r="I53" s="479">
        <v>0.17749999999999999</v>
      </c>
      <c r="J53" s="479">
        <v>0.1555</v>
      </c>
      <c r="K53" s="480">
        <v>0.13700000000000001</v>
      </c>
      <c r="L53" s="479">
        <v>0.13150000000000001</v>
      </c>
      <c r="M53" s="480">
        <v>0.126</v>
      </c>
      <c r="N53" s="481">
        <v>0.12</v>
      </c>
      <c r="O53" s="2" t="str">
        <f>O52</f>
        <v>Acronis Cloud Storage at Acronis Datacenter (for Per GB model)</v>
      </c>
    </row>
    <row r="54" spans="1:15" ht="14.45" customHeight="1">
      <c r="A54" s="909"/>
      <c r="B54" s="909"/>
      <c r="C54" s="835"/>
      <c r="D54" s="176" t="s">
        <v>315</v>
      </c>
      <c r="E54" s="120" t="s">
        <v>198</v>
      </c>
      <c r="F54" s="259" t="s">
        <v>316</v>
      </c>
      <c r="G54" s="441">
        <v>0.191</v>
      </c>
      <c r="H54" s="478">
        <v>0.17599999999999999</v>
      </c>
      <c r="I54" s="480">
        <v>0.161</v>
      </c>
      <c r="J54" s="480">
        <v>0.13800000000000001</v>
      </c>
      <c r="K54" s="480">
        <v>0.129</v>
      </c>
      <c r="L54" s="480">
        <v>0.127</v>
      </c>
      <c r="M54" s="480">
        <v>0.125</v>
      </c>
      <c r="N54" s="444">
        <v>0.12</v>
      </c>
      <c r="O54" s="2" t="str">
        <f>'Service-based'!C32</f>
        <v>Acronis Cloud Storage at Azure/Google datacenters (for Per GB model)</v>
      </c>
    </row>
    <row r="55" spans="1:15" ht="14.45" customHeight="1">
      <c r="A55" s="909"/>
      <c r="B55" s="909"/>
      <c r="C55" s="835"/>
      <c r="D55" s="176" t="s">
        <v>317</v>
      </c>
      <c r="E55" s="120" t="s">
        <v>198</v>
      </c>
      <c r="F55" s="259" t="s">
        <v>318</v>
      </c>
      <c r="G55" s="441">
        <v>0.191</v>
      </c>
      <c r="H55" s="478">
        <v>0.17599999999999999</v>
      </c>
      <c r="I55" s="480">
        <v>0.161</v>
      </c>
      <c r="J55" s="480">
        <v>0.13800000000000001</v>
      </c>
      <c r="K55" s="480">
        <v>0.129</v>
      </c>
      <c r="L55" s="480">
        <v>0.127</v>
      </c>
      <c r="M55" s="480">
        <v>0.125</v>
      </c>
      <c r="N55" s="444">
        <v>0.12</v>
      </c>
      <c r="O55" s="2"/>
    </row>
    <row r="56" spans="1:15" ht="14.45" customHeight="1">
      <c r="A56" s="909"/>
      <c r="B56" s="909"/>
      <c r="C56" s="835"/>
      <c r="D56" s="251" t="s">
        <v>319</v>
      </c>
      <c r="E56" s="120" t="s">
        <v>198</v>
      </c>
      <c r="F56" s="259" t="s">
        <v>320</v>
      </c>
      <c r="G56" s="441">
        <v>0.11700000000000001</v>
      </c>
      <c r="H56" s="478">
        <v>0.10300000000000001</v>
      </c>
      <c r="I56" s="480">
        <v>8.8999999999999996E-2</v>
      </c>
      <c r="J56" s="479">
        <v>8.5500000000000007E-2</v>
      </c>
      <c r="K56" s="479">
        <v>7.4499999999999997E-2</v>
      </c>
      <c r="L56" s="479">
        <v>7.1500000000000008E-2</v>
      </c>
      <c r="M56" s="479">
        <v>6.8500000000000005E-2</v>
      </c>
      <c r="N56" s="481">
        <v>6.4299999999999996E-2</v>
      </c>
      <c r="O56" s="2" t="str">
        <f>'Service-based'!C33</f>
        <v>Cloud - Service Provider Hosted Storage</v>
      </c>
    </row>
    <row r="57" spans="1:15" ht="14.45" customHeight="1" thickBot="1">
      <c r="A57" s="909"/>
      <c r="B57" s="909"/>
      <c r="C57" s="836"/>
      <c r="D57" s="178" t="s">
        <v>321</v>
      </c>
      <c r="E57" s="121" t="s">
        <v>198</v>
      </c>
      <c r="F57" s="261" t="s">
        <v>322</v>
      </c>
      <c r="G57" s="482">
        <v>0.105</v>
      </c>
      <c r="H57" s="483">
        <v>9.2999999999999999E-2</v>
      </c>
      <c r="I57" s="484">
        <v>0.08</v>
      </c>
      <c r="J57" s="485">
        <v>7.6999999999999999E-2</v>
      </c>
      <c r="K57" s="485">
        <v>6.8500000000000005E-2</v>
      </c>
      <c r="L57" s="485">
        <v>6.5500000000000003E-2</v>
      </c>
      <c r="M57" s="485">
        <v>6.25E-2</v>
      </c>
      <c r="N57" s="486">
        <v>6.0999999999999999E-2</v>
      </c>
      <c r="O57" s="2" t="str">
        <f>'Service-based'!C34</f>
        <v>Customer Storage</v>
      </c>
    </row>
    <row r="58" spans="1:15" ht="14.45" customHeight="1">
      <c r="A58" s="909"/>
      <c r="B58" s="909"/>
      <c r="C58" s="855" t="s">
        <v>323</v>
      </c>
      <c r="D58" s="175" t="s">
        <v>324</v>
      </c>
      <c r="E58" s="114" t="s">
        <v>198</v>
      </c>
      <c r="F58" s="245" t="s">
        <v>325</v>
      </c>
      <c r="G58" s="487">
        <v>36.5</v>
      </c>
      <c r="H58" s="488">
        <v>31.81</v>
      </c>
      <c r="I58" s="489">
        <v>27.11</v>
      </c>
      <c r="J58" s="489">
        <v>25.4</v>
      </c>
      <c r="K58" s="489">
        <v>23.72</v>
      </c>
      <c r="L58" s="489">
        <v>22.56</v>
      </c>
      <c r="M58" s="489">
        <v>21.39</v>
      </c>
      <c r="N58" s="490">
        <v>20.18</v>
      </c>
      <c r="O58" s="2" t="str">
        <f>'Service-based'!C17</f>
        <v># Physical Servers</v>
      </c>
    </row>
    <row r="59" spans="1:15" ht="14.45" customHeight="1">
      <c r="A59" s="909"/>
      <c r="B59" s="909"/>
      <c r="C59" s="835"/>
      <c r="D59" s="175" t="s">
        <v>326</v>
      </c>
      <c r="E59" s="120" t="s">
        <v>198</v>
      </c>
      <c r="F59" s="259" t="s">
        <v>327</v>
      </c>
      <c r="G59" s="392">
        <v>24.4</v>
      </c>
      <c r="H59" s="393">
        <v>21.25</v>
      </c>
      <c r="I59" s="394">
        <v>18.100000000000001</v>
      </c>
      <c r="J59" s="394">
        <v>17</v>
      </c>
      <c r="K59" s="394">
        <v>15.9</v>
      </c>
      <c r="L59" s="394">
        <v>15.100000000000001</v>
      </c>
      <c r="M59" s="394">
        <v>14.3</v>
      </c>
      <c r="N59" s="395">
        <v>13.96</v>
      </c>
      <c r="O59" s="2" t="str">
        <f>'Service-based'!C18</f>
        <v># Network Attached Storage</v>
      </c>
    </row>
    <row r="60" spans="1:15" ht="14.45" customHeight="1">
      <c r="A60" s="909"/>
      <c r="B60" s="909"/>
      <c r="C60" s="835"/>
      <c r="D60" s="176" t="s">
        <v>328</v>
      </c>
      <c r="E60" s="120" t="s">
        <v>198</v>
      </c>
      <c r="F60" s="259" t="s">
        <v>329</v>
      </c>
      <c r="G60" s="392">
        <v>12.55</v>
      </c>
      <c r="H60" s="393">
        <v>11.05</v>
      </c>
      <c r="I60" s="394">
        <v>9.5500000000000007</v>
      </c>
      <c r="J60" s="394">
        <v>8.5</v>
      </c>
      <c r="K60" s="394">
        <v>7.55</v>
      </c>
      <c r="L60" s="394">
        <v>7.23</v>
      </c>
      <c r="M60" s="394">
        <v>6.9</v>
      </c>
      <c r="N60" s="395">
        <v>6.49</v>
      </c>
      <c r="O60" s="2" t="str">
        <f>'Service-based'!C19</f>
        <v># Virtual Machines</v>
      </c>
    </row>
    <row r="61" spans="1:15" ht="14.45" customHeight="1">
      <c r="A61" s="909"/>
      <c r="B61" s="909"/>
      <c r="C61" s="835"/>
      <c r="D61" s="176" t="s">
        <v>330</v>
      </c>
      <c r="E61" s="120" t="s">
        <v>198</v>
      </c>
      <c r="F61" s="259" t="s">
        <v>331</v>
      </c>
      <c r="G61" s="392">
        <v>12.4</v>
      </c>
      <c r="H61" s="393">
        <v>10.850000000000001</v>
      </c>
      <c r="I61" s="394">
        <v>9.3000000000000007</v>
      </c>
      <c r="J61" s="394">
        <v>8.1999999999999993</v>
      </c>
      <c r="K61" s="394">
        <v>7.2</v>
      </c>
      <c r="L61" s="394">
        <v>6.85</v>
      </c>
      <c r="M61" s="394">
        <v>6.5</v>
      </c>
      <c r="N61" s="395">
        <v>5.74</v>
      </c>
      <c r="O61" s="2" t="str">
        <f>'Service-based'!C20</f>
        <v># vCloud Director Virtual Machines</v>
      </c>
    </row>
    <row r="62" spans="1:15" ht="14.45" customHeight="1">
      <c r="A62" s="909"/>
      <c r="B62" s="909"/>
      <c r="C62" s="835"/>
      <c r="D62" s="176" t="s">
        <v>332</v>
      </c>
      <c r="E62" s="120" t="s">
        <v>198</v>
      </c>
      <c r="F62" s="259" t="s">
        <v>333</v>
      </c>
      <c r="G62" s="392">
        <v>5.9</v>
      </c>
      <c r="H62" s="393">
        <v>5.18</v>
      </c>
      <c r="I62" s="394">
        <v>4.45</v>
      </c>
      <c r="J62" s="394">
        <v>4</v>
      </c>
      <c r="K62" s="394">
        <v>3.5</v>
      </c>
      <c r="L62" s="394">
        <v>3.35</v>
      </c>
      <c r="M62" s="394">
        <v>3.19</v>
      </c>
      <c r="N62" s="395">
        <v>3</v>
      </c>
      <c r="O62" s="2" t="str">
        <f>'Service-based'!C21</f>
        <v># Workstations</v>
      </c>
    </row>
    <row r="63" spans="1:15" ht="14.45" customHeight="1">
      <c r="A63" s="909"/>
      <c r="B63" s="909"/>
      <c r="C63" s="835"/>
      <c r="D63" s="176" t="s">
        <v>334</v>
      </c>
      <c r="E63" s="120" t="s">
        <v>198</v>
      </c>
      <c r="F63" s="259" t="s">
        <v>335</v>
      </c>
      <c r="G63" s="392">
        <v>5.9</v>
      </c>
      <c r="H63" s="393">
        <v>5.18</v>
      </c>
      <c r="I63" s="394">
        <v>4.45</v>
      </c>
      <c r="J63" s="394">
        <v>4</v>
      </c>
      <c r="K63" s="394">
        <v>3.5</v>
      </c>
      <c r="L63" s="394">
        <v>3.35</v>
      </c>
      <c r="M63" s="394">
        <v>3.19</v>
      </c>
      <c r="N63" s="395">
        <v>3</v>
      </c>
      <c r="O63" s="2" t="str">
        <f>'Service-based'!C22</f>
        <v># Hosting Servers</v>
      </c>
    </row>
    <row r="64" spans="1:15" ht="14.45" customHeight="1">
      <c r="A64" s="909"/>
      <c r="B64" s="909"/>
      <c r="C64" s="835"/>
      <c r="D64" s="176" t="s">
        <v>336</v>
      </c>
      <c r="E64" s="120" t="s">
        <v>3</v>
      </c>
      <c r="F64" s="259" t="s">
        <v>337</v>
      </c>
      <c r="G64" s="392">
        <v>3.58</v>
      </c>
      <c r="H64" s="393">
        <v>3.35</v>
      </c>
      <c r="I64" s="394">
        <v>3.12</v>
      </c>
      <c r="J64" s="394">
        <v>2.81</v>
      </c>
      <c r="K64" s="394">
        <v>2.5499999999999998</v>
      </c>
      <c r="L64" s="394">
        <v>2.44</v>
      </c>
      <c r="M64" s="394">
        <v>2.3199999999999998</v>
      </c>
      <c r="N64" s="395">
        <v>2.27</v>
      </c>
      <c r="O64" s="2" t="str">
        <f>'Service-based'!C23</f>
        <v># Microsoft 365 Seats (unlimited Acronis Hosted Cloud Storage included*)</v>
      </c>
    </row>
    <row r="65" spans="1:15" ht="14.45" customHeight="1">
      <c r="A65" s="909"/>
      <c r="B65" s="909"/>
      <c r="C65" s="835"/>
      <c r="D65" s="176" t="s">
        <v>338</v>
      </c>
      <c r="E65" s="120" t="s">
        <v>222</v>
      </c>
      <c r="F65" s="259" t="s">
        <v>339</v>
      </c>
      <c r="G65" s="392">
        <v>4.8499999999999996</v>
      </c>
      <c r="H65" s="393">
        <v>4.53</v>
      </c>
      <c r="I65" s="394">
        <v>4.2</v>
      </c>
      <c r="J65" s="394">
        <v>3.8</v>
      </c>
      <c r="K65" s="394">
        <v>3.45</v>
      </c>
      <c r="L65" s="394">
        <v>3.3</v>
      </c>
      <c r="M65" s="394">
        <v>3.15</v>
      </c>
      <c r="N65" s="395">
        <v>3.08</v>
      </c>
      <c r="O65" s="2" t="str">
        <f>'Service-based'!C23</f>
        <v># Microsoft 365 Seats (unlimited Acronis Hosted Cloud Storage included*)</v>
      </c>
    </row>
    <row r="66" spans="1:15" ht="14.45" customHeight="1">
      <c r="A66" s="909"/>
      <c r="B66" s="909"/>
      <c r="C66" s="835"/>
      <c r="D66" s="177" t="s">
        <v>340</v>
      </c>
      <c r="E66" s="120" t="s">
        <v>198</v>
      </c>
      <c r="F66" s="259" t="s">
        <v>341</v>
      </c>
      <c r="G66" s="392">
        <v>2.23</v>
      </c>
      <c r="H66" s="393">
        <v>2.08</v>
      </c>
      <c r="I66" s="394">
        <v>1.92</v>
      </c>
      <c r="J66" s="394">
        <v>1.57</v>
      </c>
      <c r="K66" s="394">
        <v>1.23</v>
      </c>
      <c r="L66" s="394">
        <v>1.18</v>
      </c>
      <c r="M66" s="394">
        <v>1.1299999999999999</v>
      </c>
      <c r="N66" s="395">
        <v>1.1000000000000001</v>
      </c>
      <c r="O66" s="2" t="str">
        <f>'Service-based'!C24</f>
        <v># Microsoft 365 Seats (for SP/Customer/Azure/Google Hosted Storage)</v>
      </c>
    </row>
    <row r="67" spans="1:15" ht="14.45" customHeight="1">
      <c r="A67" s="909"/>
      <c r="B67" s="909"/>
      <c r="C67" s="835"/>
      <c r="D67" s="176" t="s">
        <v>342</v>
      </c>
      <c r="E67" s="120" t="s">
        <v>198</v>
      </c>
      <c r="F67" s="259" t="s">
        <v>343</v>
      </c>
      <c r="G67" s="392">
        <v>1.55</v>
      </c>
      <c r="H67" s="393">
        <v>1.4</v>
      </c>
      <c r="I67" s="394">
        <v>1.24</v>
      </c>
      <c r="J67" s="394">
        <v>0.93</v>
      </c>
      <c r="K67" s="394">
        <v>0.78</v>
      </c>
      <c r="L67" s="394">
        <v>0.74</v>
      </c>
      <c r="M67" s="394">
        <v>0.7</v>
      </c>
      <c r="N67" s="395">
        <v>0.68</v>
      </c>
      <c r="O67" s="2"/>
    </row>
    <row r="68" spans="1:15" ht="14.45" customHeight="1">
      <c r="A68" s="909"/>
      <c r="B68" s="909"/>
      <c r="C68" s="835"/>
      <c r="D68" s="252" t="s">
        <v>344</v>
      </c>
      <c r="E68" s="120" t="s">
        <v>3</v>
      </c>
      <c r="F68" s="259" t="s">
        <v>345</v>
      </c>
      <c r="G68" s="392">
        <v>3.58</v>
      </c>
      <c r="H68" s="393">
        <v>3.35</v>
      </c>
      <c r="I68" s="394">
        <v>3.12</v>
      </c>
      <c r="J68" s="394">
        <v>2.81</v>
      </c>
      <c r="K68" s="394">
        <v>2.5499999999999998</v>
      </c>
      <c r="L68" s="394">
        <v>2.44</v>
      </c>
      <c r="M68" s="394">
        <v>2.3199999999999998</v>
      </c>
      <c r="N68" s="395">
        <v>2.27</v>
      </c>
      <c r="O68" s="2" t="str">
        <f>'Service-based'!C25</f>
        <v># Google Workspace Seats (unlimited Acronis Hosted Cloud Storage included*)</v>
      </c>
    </row>
    <row r="69" spans="1:15" ht="14.45" customHeight="1">
      <c r="A69" s="909"/>
      <c r="B69" s="909"/>
      <c r="C69" s="835"/>
      <c r="D69" s="252" t="s">
        <v>346</v>
      </c>
      <c r="E69" s="120" t="s">
        <v>222</v>
      </c>
      <c r="F69" s="259" t="s">
        <v>347</v>
      </c>
      <c r="G69" s="392">
        <v>4.8499999999999996</v>
      </c>
      <c r="H69" s="393">
        <v>4.53</v>
      </c>
      <c r="I69" s="394">
        <v>4.2</v>
      </c>
      <c r="J69" s="394">
        <v>3.8</v>
      </c>
      <c r="K69" s="394">
        <v>3.45</v>
      </c>
      <c r="L69" s="394">
        <v>3.3</v>
      </c>
      <c r="M69" s="394">
        <v>3.15</v>
      </c>
      <c r="N69" s="395">
        <v>3.08</v>
      </c>
      <c r="O69" s="2" t="str">
        <f>O68</f>
        <v># Google Workspace Seats (unlimited Acronis Hosted Cloud Storage included*)</v>
      </c>
    </row>
    <row r="70" spans="1:15" ht="15" customHeight="1">
      <c r="A70" s="909"/>
      <c r="B70" s="909"/>
      <c r="C70" s="835"/>
      <c r="D70" s="176" t="s">
        <v>348</v>
      </c>
      <c r="E70" s="120" t="s">
        <v>198</v>
      </c>
      <c r="F70" s="259" t="s">
        <v>349</v>
      </c>
      <c r="G70" s="392">
        <v>2.23</v>
      </c>
      <c r="H70" s="393">
        <v>2.08</v>
      </c>
      <c r="I70" s="394">
        <v>1.92</v>
      </c>
      <c r="J70" s="394">
        <v>1.57</v>
      </c>
      <c r="K70" s="394">
        <v>1.23</v>
      </c>
      <c r="L70" s="394">
        <v>1.18</v>
      </c>
      <c r="M70" s="394">
        <v>1.1299999999999999</v>
      </c>
      <c r="N70" s="395">
        <v>1.1000000000000001</v>
      </c>
      <c r="O70" s="2" t="str">
        <f>'Service-based'!C26</f>
        <v>#  Google Workspace Seats (for SP/Azure/Google Hosted Storage)</v>
      </c>
    </row>
    <row r="71" spans="1:15" ht="15" customHeight="1">
      <c r="A71" s="909"/>
      <c r="B71" s="909"/>
      <c r="C71" s="835"/>
      <c r="D71" s="176" t="s">
        <v>350</v>
      </c>
      <c r="E71" s="120" t="s">
        <v>198</v>
      </c>
      <c r="F71" s="259" t="s">
        <v>351</v>
      </c>
      <c r="G71" s="392">
        <v>1.55</v>
      </c>
      <c r="H71" s="393">
        <v>1.4</v>
      </c>
      <c r="I71" s="394">
        <v>1.24</v>
      </c>
      <c r="J71" s="394">
        <v>0.93</v>
      </c>
      <c r="K71" s="394">
        <v>0.78</v>
      </c>
      <c r="L71" s="394">
        <v>0.74</v>
      </c>
      <c r="M71" s="394">
        <v>0.7</v>
      </c>
      <c r="N71" s="395">
        <v>0.68</v>
      </c>
      <c r="O71" s="2" t="str">
        <f>'Service-based'!C27</f>
        <v># Mobile Devices</v>
      </c>
    </row>
    <row r="72" spans="1:15" ht="15" customHeight="1">
      <c r="A72" s="909"/>
      <c r="B72" s="909"/>
      <c r="C72" s="835"/>
      <c r="D72" s="176" t="s">
        <v>352</v>
      </c>
      <c r="E72" s="120" t="s">
        <v>198</v>
      </c>
      <c r="F72" s="259" t="s">
        <v>353</v>
      </c>
      <c r="G72" s="392">
        <v>2.33</v>
      </c>
      <c r="H72" s="393">
        <v>2.1</v>
      </c>
      <c r="I72" s="394">
        <v>1.86</v>
      </c>
      <c r="J72" s="394">
        <v>1.4</v>
      </c>
      <c r="K72" s="394">
        <v>1.24</v>
      </c>
      <c r="L72" s="394">
        <v>1.1800000000000002</v>
      </c>
      <c r="M72" s="394">
        <v>1.1200000000000001</v>
      </c>
      <c r="N72" s="395">
        <v>1.0900000000000001</v>
      </c>
      <c r="O72" s="2" t="str">
        <f>'Service-based'!C28</f>
        <v># Websites</v>
      </c>
    </row>
    <row r="73" spans="1:15" ht="15" customHeight="1">
      <c r="A73" s="909"/>
      <c r="B73" s="909"/>
      <c r="C73" s="835"/>
      <c r="D73" s="176" t="s">
        <v>354</v>
      </c>
      <c r="E73" s="120" t="s">
        <v>3</v>
      </c>
      <c r="F73" s="259" t="s">
        <v>355</v>
      </c>
      <c r="G73" s="477">
        <v>7.5999999999999998E-2</v>
      </c>
      <c r="H73" s="491">
        <v>6.8500000000000005E-2</v>
      </c>
      <c r="I73" s="479">
        <v>6.1499999999999999E-2</v>
      </c>
      <c r="J73" s="479">
        <v>0.05</v>
      </c>
      <c r="K73" s="479">
        <v>4.5499999999999999E-2</v>
      </c>
      <c r="L73" s="479">
        <v>4.3400000000000001E-2</v>
      </c>
      <c r="M73" s="479">
        <v>4.1200000000000001E-2</v>
      </c>
      <c r="N73" s="481">
        <v>4.02E-2</v>
      </c>
      <c r="O73" s="2" t="str">
        <f>'Service-based'!C29</f>
        <v>Acronis Cloud Storage at Acronis Datacenter (for Per Workload model)</v>
      </c>
    </row>
    <row r="74" spans="1:15" ht="15" customHeight="1">
      <c r="A74" s="909"/>
      <c r="B74" s="909"/>
      <c r="C74" s="835"/>
      <c r="D74" s="176" t="s">
        <v>356</v>
      </c>
      <c r="E74" s="120" t="s">
        <v>222</v>
      </c>
      <c r="F74" s="259" t="s">
        <v>357</v>
      </c>
      <c r="G74" s="441">
        <v>9.8000000000000004E-2</v>
      </c>
      <c r="H74" s="491">
        <v>8.7499999999999994E-2</v>
      </c>
      <c r="I74" s="479">
        <v>7.6999999999999999E-2</v>
      </c>
      <c r="J74" s="479">
        <v>6.25E-2</v>
      </c>
      <c r="K74" s="479">
        <v>5.67E-2</v>
      </c>
      <c r="L74" s="479">
        <v>5.4099999999999995E-2</v>
      </c>
      <c r="M74" s="479">
        <v>5.1499999999999997E-2</v>
      </c>
      <c r="N74" s="481">
        <v>5.0299999999999997E-2</v>
      </c>
      <c r="O74" s="2" t="str">
        <f>O73</f>
        <v>Acronis Cloud Storage at Acronis Datacenter (for Per Workload model)</v>
      </c>
    </row>
    <row r="75" spans="1:15" ht="14.45" customHeight="1">
      <c r="A75" s="909"/>
      <c r="B75" s="909"/>
      <c r="C75" s="835"/>
      <c r="D75" s="176" t="s">
        <v>358</v>
      </c>
      <c r="E75" s="120" t="s">
        <v>198</v>
      </c>
      <c r="F75" s="259" t="s">
        <v>359</v>
      </c>
      <c r="G75" s="477">
        <v>8.5500000000000007E-2</v>
      </c>
      <c r="H75" s="491">
        <v>8.2799999999999999E-2</v>
      </c>
      <c r="I75" s="480">
        <v>0.08</v>
      </c>
      <c r="J75" s="480">
        <v>7.0000000000000007E-2</v>
      </c>
      <c r="K75" s="480">
        <v>6.8000000000000005E-2</v>
      </c>
      <c r="L75" s="479">
        <v>6.6500000000000004E-2</v>
      </c>
      <c r="M75" s="480">
        <v>6.5000000000000002E-2</v>
      </c>
      <c r="N75" s="481">
        <v>6.3399999999999998E-2</v>
      </c>
      <c r="O75" s="2" t="str">
        <f>'Service-based'!C30</f>
        <v>Acronis Cloud Storage at Azure/Google datacenters (for Per Workload model)</v>
      </c>
    </row>
    <row r="76" spans="1:15" ht="14.45" customHeight="1" thickBot="1">
      <c r="A76" s="909"/>
      <c r="B76" s="909"/>
      <c r="C76" s="836"/>
      <c r="D76" s="152" t="s">
        <v>360</v>
      </c>
      <c r="E76" s="121" t="s">
        <v>198</v>
      </c>
      <c r="F76" s="261" t="s">
        <v>361</v>
      </c>
      <c r="G76" s="492">
        <v>8.5500000000000007E-2</v>
      </c>
      <c r="H76" s="493">
        <v>8.2799999999999999E-2</v>
      </c>
      <c r="I76" s="484">
        <v>0.08</v>
      </c>
      <c r="J76" s="484">
        <v>7.0000000000000007E-2</v>
      </c>
      <c r="K76" s="484">
        <v>6.8000000000000005E-2</v>
      </c>
      <c r="L76" s="485">
        <v>6.6500000000000004E-2</v>
      </c>
      <c r="M76" s="484">
        <v>6.5000000000000002E-2</v>
      </c>
      <c r="N76" s="486">
        <v>6.3399999999999998E-2</v>
      </c>
      <c r="O76" s="2"/>
    </row>
    <row r="77" spans="1:15" ht="31.5" customHeight="1" thickBot="1">
      <c r="A77" s="909"/>
      <c r="B77" s="909"/>
      <c r="C77" s="253" t="s">
        <v>362</v>
      </c>
      <c r="D77" s="254" t="s">
        <v>363</v>
      </c>
      <c r="E77" s="121" t="s">
        <v>198</v>
      </c>
      <c r="F77" s="261" t="s">
        <v>364</v>
      </c>
      <c r="G77" s="494">
        <v>0.19500000000000001</v>
      </c>
      <c r="H77" s="495">
        <v>0.183</v>
      </c>
      <c r="I77" s="495">
        <v>0.17</v>
      </c>
      <c r="J77" s="495">
        <v>0.156</v>
      </c>
      <c r="K77" s="495">
        <v>0.14499999999999999</v>
      </c>
      <c r="L77" s="495">
        <v>0.14099999999999999</v>
      </c>
      <c r="M77" s="495">
        <v>0.13700000000000001</v>
      </c>
      <c r="N77" s="496">
        <v>0.13400000000000001</v>
      </c>
      <c r="O77" s="2" t="str">
        <f>'Service-based'!C35</f>
        <v>Microsoft 365 Backup Storage powered by Microsoft (per GB, for both per GB and per workload models)</v>
      </c>
    </row>
    <row r="78" spans="1:15" ht="14.45" customHeight="1">
      <c r="A78" s="909"/>
      <c r="B78" s="909"/>
      <c r="C78" s="911" t="s">
        <v>37</v>
      </c>
      <c r="D78" s="255" t="s">
        <v>365</v>
      </c>
      <c r="E78" s="119" t="s">
        <v>3</v>
      </c>
      <c r="F78" s="258" t="s">
        <v>366</v>
      </c>
      <c r="G78" s="497">
        <v>5.7500000000000002E-2</v>
      </c>
      <c r="H78" s="498">
        <v>5.1499999999999997E-2</v>
      </c>
      <c r="I78" s="499">
        <v>4.58E-2</v>
      </c>
      <c r="J78" s="499">
        <v>3.7999999999999999E-2</v>
      </c>
      <c r="K78" s="499">
        <v>3.4000000000000002E-2</v>
      </c>
      <c r="L78" s="499">
        <v>3.2500000000000001E-2</v>
      </c>
      <c r="M78" s="499">
        <v>3.1E-2</v>
      </c>
      <c r="N78" s="500">
        <v>3.0200000000000001E-2</v>
      </c>
      <c r="O78" s="2" t="str">
        <f>'Service-based'!C36</f>
        <v>Per GB/Workload model - Backup Geo-redundant - Acronis Hosted Storage</v>
      </c>
    </row>
    <row r="79" spans="1:15" ht="14.45" customHeight="1">
      <c r="A79" s="909"/>
      <c r="B79" s="909"/>
      <c r="C79" s="911"/>
      <c r="D79" s="256" t="s">
        <v>367</v>
      </c>
      <c r="E79" s="114" t="s">
        <v>3</v>
      </c>
      <c r="F79" s="259" t="s">
        <v>368</v>
      </c>
      <c r="G79" s="441">
        <v>2.69</v>
      </c>
      <c r="H79" s="442">
        <v>2.5150000000000001</v>
      </c>
      <c r="I79" s="443">
        <v>2.34</v>
      </c>
      <c r="J79" s="443">
        <v>2.11</v>
      </c>
      <c r="K79" s="443">
        <v>1.92</v>
      </c>
      <c r="L79" s="443">
        <v>1.835</v>
      </c>
      <c r="M79" s="443">
        <v>1.7450000000000001</v>
      </c>
      <c r="N79" s="444">
        <v>1.7030000000000001</v>
      </c>
      <c r="O79" s="2" t="str">
        <f>'Service-based'!C37</f>
        <v>Per Workload model - # Geo-redundant Microsoft 365 seat (unlimited Acronis Hosted Cloud Storage included*)</v>
      </c>
    </row>
    <row r="80" spans="1:15" ht="14.45" customHeight="1" thickBot="1">
      <c r="A80" s="909"/>
      <c r="B80" s="910"/>
      <c r="C80" s="912"/>
      <c r="D80" s="257" t="s">
        <v>369</v>
      </c>
      <c r="E80" s="115" t="s">
        <v>3</v>
      </c>
      <c r="F80" s="261" t="s">
        <v>370</v>
      </c>
      <c r="G80" s="501">
        <v>2.69</v>
      </c>
      <c r="H80" s="502">
        <v>2.5150000000000001</v>
      </c>
      <c r="I80" s="503">
        <v>2.34</v>
      </c>
      <c r="J80" s="503">
        <v>2.11</v>
      </c>
      <c r="K80" s="503">
        <v>1.92</v>
      </c>
      <c r="L80" s="503">
        <v>1.835</v>
      </c>
      <c r="M80" s="503">
        <v>1.7450000000000001</v>
      </c>
      <c r="N80" s="504">
        <v>1.7030000000000001</v>
      </c>
      <c r="O80" s="2" t="str">
        <f>'Service-based'!C38</f>
        <v>Per Workload model - # Geo-redundant Google Workspace seat (unlimited Acronis Hosted Cloud Storage included*)</v>
      </c>
    </row>
    <row r="81" spans="1:15" ht="14.45" customHeight="1">
      <c r="A81" s="909"/>
      <c r="B81" s="902" t="s">
        <v>89</v>
      </c>
      <c r="C81" s="903"/>
      <c r="D81" s="174" t="s">
        <v>371</v>
      </c>
      <c r="E81" s="119" t="s">
        <v>198</v>
      </c>
      <c r="F81" s="258" t="s">
        <v>372</v>
      </c>
      <c r="G81" s="505">
        <v>16</v>
      </c>
      <c r="H81" s="506">
        <v>14</v>
      </c>
      <c r="I81" s="507">
        <v>12</v>
      </c>
      <c r="J81" s="507">
        <v>11</v>
      </c>
      <c r="K81" s="507">
        <v>10</v>
      </c>
      <c r="L81" s="507">
        <v>9.5</v>
      </c>
      <c r="M81" s="507">
        <v>9.0000000000000018</v>
      </c>
      <c r="N81" s="508">
        <v>8.7899999999999991</v>
      </c>
      <c r="O81" s="2" t="str">
        <f>'Service-based'!C39</f>
        <v># Advanced Backup Physical Servers</v>
      </c>
    </row>
    <row r="82" spans="1:15" ht="14.45" customHeight="1">
      <c r="A82" s="909"/>
      <c r="B82" s="904"/>
      <c r="C82" s="905"/>
      <c r="D82" s="176" t="s">
        <v>373</v>
      </c>
      <c r="E82" s="120" t="s">
        <v>198</v>
      </c>
      <c r="F82" s="259" t="s">
        <v>374</v>
      </c>
      <c r="G82" s="392">
        <v>6.9999999999999991</v>
      </c>
      <c r="H82" s="393">
        <v>6.25</v>
      </c>
      <c r="I82" s="394">
        <v>5.5</v>
      </c>
      <c r="J82" s="394">
        <v>4.5</v>
      </c>
      <c r="K82" s="394">
        <v>4</v>
      </c>
      <c r="L82" s="394">
        <v>3.8000000000000003</v>
      </c>
      <c r="M82" s="394">
        <v>3.6000000000000005</v>
      </c>
      <c r="N82" s="395">
        <v>3.51</v>
      </c>
      <c r="O82" s="2" t="str">
        <f>'Service-based'!C40</f>
        <v># Advanced Backup Virtual Machines</v>
      </c>
    </row>
    <row r="83" spans="1:15" ht="14.45" customHeight="1">
      <c r="A83" s="909"/>
      <c r="B83" s="904"/>
      <c r="C83" s="905"/>
      <c r="D83" s="176" t="s">
        <v>375</v>
      </c>
      <c r="E83" s="120" t="s">
        <v>198</v>
      </c>
      <c r="F83" s="259" t="s">
        <v>376</v>
      </c>
      <c r="G83" s="392">
        <v>1.55</v>
      </c>
      <c r="H83" s="393">
        <v>1.4</v>
      </c>
      <c r="I83" s="394">
        <v>1.24</v>
      </c>
      <c r="J83" s="394">
        <v>0.93</v>
      </c>
      <c r="K83" s="394">
        <v>0.78</v>
      </c>
      <c r="L83" s="394">
        <v>0.74</v>
      </c>
      <c r="M83" s="394">
        <v>0.7</v>
      </c>
      <c r="N83" s="395">
        <v>0.68400000000000005</v>
      </c>
      <c r="O83" s="2" t="str">
        <f>'Service-based'!C41</f>
        <v># Advanced Backup Workstations</v>
      </c>
    </row>
    <row r="84" spans="1:15" ht="14.45" customHeight="1">
      <c r="A84" s="909"/>
      <c r="B84" s="904"/>
      <c r="C84" s="905"/>
      <c r="D84" s="260" t="s">
        <v>377</v>
      </c>
      <c r="E84" s="120" t="s">
        <v>198</v>
      </c>
      <c r="F84" s="259" t="s">
        <v>378</v>
      </c>
      <c r="G84" s="392">
        <v>1.55</v>
      </c>
      <c r="H84" s="393">
        <v>1.4</v>
      </c>
      <c r="I84" s="394">
        <v>1.24</v>
      </c>
      <c r="J84" s="394">
        <v>0.93</v>
      </c>
      <c r="K84" s="394">
        <v>0.78</v>
      </c>
      <c r="L84" s="394">
        <v>0.74</v>
      </c>
      <c r="M84" s="394">
        <v>0.7</v>
      </c>
      <c r="N84" s="395">
        <v>0.68400000000000005</v>
      </c>
      <c r="O84" s="2" t="str">
        <f>'Service-based'!C42</f>
        <v># Advanced Backup Hosting Servers</v>
      </c>
    </row>
    <row r="85" spans="1:15" ht="14.45" customHeight="1">
      <c r="A85" s="909"/>
      <c r="B85" s="904"/>
      <c r="C85" s="905"/>
      <c r="D85" s="260" t="s">
        <v>379</v>
      </c>
      <c r="E85" s="120" t="s">
        <v>198</v>
      </c>
      <c r="F85" s="259" t="s">
        <v>380</v>
      </c>
      <c r="G85" s="392">
        <v>0.62</v>
      </c>
      <c r="H85" s="393">
        <v>0.58000000000000007</v>
      </c>
      <c r="I85" s="394">
        <v>0.54</v>
      </c>
      <c r="J85" s="394">
        <v>0.5</v>
      </c>
      <c r="K85" s="394">
        <v>0.45</v>
      </c>
      <c r="L85" s="394">
        <v>0.43</v>
      </c>
      <c r="M85" s="394">
        <v>0.4</v>
      </c>
      <c r="N85" s="395">
        <v>0.39</v>
      </c>
      <c r="O85" s="2" t="str">
        <f>'Service-based'!C43</f>
        <v># Advanced Backup Microsoft 365 seats</v>
      </c>
    </row>
    <row r="86" spans="1:15" ht="14.45" customHeight="1" thickBot="1">
      <c r="A86" s="909"/>
      <c r="B86" s="904"/>
      <c r="C86" s="905"/>
      <c r="D86" s="260" t="s">
        <v>381</v>
      </c>
      <c r="E86" s="287" t="s">
        <v>198</v>
      </c>
      <c r="F86" s="264" t="s">
        <v>382</v>
      </c>
      <c r="G86" s="509">
        <v>0.62</v>
      </c>
      <c r="H86" s="510">
        <v>0.58000000000000007</v>
      </c>
      <c r="I86" s="511">
        <v>0.54</v>
      </c>
      <c r="J86" s="511">
        <v>0.5</v>
      </c>
      <c r="K86" s="511">
        <v>0.45</v>
      </c>
      <c r="L86" s="511">
        <v>0.43</v>
      </c>
      <c r="M86" s="511">
        <v>0.4</v>
      </c>
      <c r="N86" s="512">
        <v>0.39</v>
      </c>
      <c r="O86" s="2" t="str">
        <f>'Service-based'!C44</f>
        <v># Advanced Backup Google Workspace seats</v>
      </c>
    </row>
    <row r="87" spans="1:15" ht="14.45" customHeight="1">
      <c r="A87" s="909"/>
      <c r="B87" s="902" t="s">
        <v>96</v>
      </c>
      <c r="C87" s="903"/>
      <c r="D87" s="174" t="s">
        <v>383</v>
      </c>
      <c r="E87" s="258" t="s">
        <v>3</v>
      </c>
      <c r="F87" s="258" t="s">
        <v>384</v>
      </c>
      <c r="G87" s="472">
        <v>9.9999999999999992E-2</v>
      </c>
      <c r="H87" s="473">
        <v>8.7999999999999995E-2</v>
      </c>
      <c r="I87" s="475">
        <v>7.4999999999999997E-2</v>
      </c>
      <c r="J87" s="475">
        <v>6.9999999999999993E-2</v>
      </c>
      <c r="K87" s="475">
        <v>6.0000000000000005E-2</v>
      </c>
      <c r="L87" s="475">
        <v>5.7000000000000009E-2</v>
      </c>
      <c r="M87" s="475">
        <v>5.4000000000000006E-2</v>
      </c>
      <c r="N87" s="513">
        <v>5.2999999999999999E-2</v>
      </c>
      <c r="O87" s="2" t="str">
        <f>'Service-based'!C45</f>
        <v>Disaster Recovery Cloud Storage - Acronis Hosted</v>
      </c>
    </row>
    <row r="88" spans="1:15" ht="14.45" customHeight="1">
      <c r="A88" s="909"/>
      <c r="B88" s="904"/>
      <c r="C88" s="905"/>
      <c r="D88" s="175" t="s">
        <v>385</v>
      </c>
      <c r="E88" s="259" t="s">
        <v>222</v>
      </c>
      <c r="F88" s="259" t="s">
        <v>386</v>
      </c>
      <c r="G88" s="441">
        <v>0.13</v>
      </c>
      <c r="H88" s="478">
        <v>0.112</v>
      </c>
      <c r="I88" s="480">
        <v>9.4E-2</v>
      </c>
      <c r="J88" s="480">
        <v>8.7999999999999995E-2</v>
      </c>
      <c r="K88" s="480">
        <v>7.4999999999999997E-2</v>
      </c>
      <c r="L88" s="480">
        <v>7.1999999999999995E-2</v>
      </c>
      <c r="M88" s="480">
        <v>6.8000000000000005E-2</v>
      </c>
      <c r="N88" s="444">
        <v>6.7000000000000004E-2</v>
      </c>
      <c r="O88" s="2" t="str">
        <f>O87</f>
        <v>Disaster Recovery Cloud Storage - Acronis Hosted</v>
      </c>
    </row>
    <row r="89" spans="1:15" ht="15" customHeight="1">
      <c r="A89" s="909"/>
      <c r="B89" s="904"/>
      <c r="C89" s="905"/>
      <c r="D89" s="262" t="s">
        <v>387</v>
      </c>
      <c r="E89" s="259" t="s">
        <v>198</v>
      </c>
      <c r="F89" s="259" t="s">
        <v>388</v>
      </c>
      <c r="G89" s="441">
        <v>0.06</v>
      </c>
      <c r="H89" s="478">
        <v>5.5E-2</v>
      </c>
      <c r="I89" s="480">
        <v>0.05</v>
      </c>
      <c r="J89" s="480">
        <v>4.3999999999999997E-2</v>
      </c>
      <c r="K89" s="480">
        <v>3.5000000000000003E-2</v>
      </c>
      <c r="L89" s="479">
        <v>3.3500000000000002E-2</v>
      </c>
      <c r="M89" s="480">
        <v>3.2000000000000001E-2</v>
      </c>
      <c r="N89" s="481">
        <v>3.1E-2</v>
      </c>
      <c r="O89" s="2" t="str">
        <f>'Service-based'!C46</f>
        <v>Disaster Recovery Cloud Storage - Service Provider Hosted</v>
      </c>
    </row>
    <row r="90" spans="1:15" ht="14.45" customHeight="1">
      <c r="A90" s="909"/>
      <c r="B90" s="904"/>
      <c r="C90" s="905"/>
      <c r="D90" s="176" t="s">
        <v>389</v>
      </c>
      <c r="E90" s="259" t="s">
        <v>198</v>
      </c>
      <c r="F90" s="259" t="s">
        <v>390</v>
      </c>
      <c r="G90" s="514">
        <v>9.9999999999999992E-2</v>
      </c>
      <c r="H90" s="515">
        <v>8.7999999999999995E-2</v>
      </c>
      <c r="I90" s="516">
        <v>7.4999999999999997E-2</v>
      </c>
      <c r="J90" s="516">
        <v>6.9999999999999993E-2</v>
      </c>
      <c r="K90" s="480">
        <v>6.0000000000000005E-2</v>
      </c>
      <c r="L90" s="480">
        <v>5.7000000000000009E-2</v>
      </c>
      <c r="M90" s="480">
        <v>5.4000000000000006E-2</v>
      </c>
      <c r="N90" s="444">
        <v>5.2999999999999999E-2</v>
      </c>
      <c r="O90" s="2" t="str">
        <f>'Service-based'!C47</f>
        <v>Monthly Compute Point Consumption (tests)</v>
      </c>
    </row>
    <row r="91" spans="1:15" ht="14.45" customHeight="1">
      <c r="A91" s="909"/>
      <c r="B91" s="904"/>
      <c r="C91" s="905"/>
      <c r="D91" s="176" t="s">
        <v>391</v>
      </c>
      <c r="E91" s="259" t="s">
        <v>198</v>
      </c>
      <c r="F91" s="259" t="s">
        <v>392</v>
      </c>
      <c r="G91" s="454">
        <v>4.6500000000000004</v>
      </c>
      <c r="H91" s="455">
        <v>4.08</v>
      </c>
      <c r="I91" s="456">
        <v>3.5</v>
      </c>
      <c r="J91" s="456">
        <v>3.1</v>
      </c>
      <c r="K91" s="394">
        <v>2.7</v>
      </c>
      <c r="L91" s="394">
        <v>2.57</v>
      </c>
      <c r="M91" s="394">
        <v>2.4300000000000002</v>
      </c>
      <c r="N91" s="395">
        <v>2.37</v>
      </c>
      <c r="O91" s="2" t="str">
        <f>'Service-based'!C48</f>
        <v>Public IPs</v>
      </c>
    </row>
    <row r="92" spans="1:15" ht="14.45" customHeight="1" thickBot="1">
      <c r="A92" s="909"/>
      <c r="B92" s="913"/>
      <c r="C92" s="914"/>
      <c r="D92" s="178" t="s">
        <v>393</v>
      </c>
      <c r="E92" s="261" t="s">
        <v>198</v>
      </c>
      <c r="F92" s="261" t="s">
        <v>394</v>
      </c>
      <c r="G92" s="454">
        <v>22.2</v>
      </c>
      <c r="H92" s="455">
        <v>20.6</v>
      </c>
      <c r="I92" s="456">
        <v>19</v>
      </c>
      <c r="J92" s="456">
        <v>17.399999999999999</v>
      </c>
      <c r="K92" s="394">
        <v>15.8</v>
      </c>
      <c r="L92" s="394">
        <v>15.05</v>
      </c>
      <c r="M92" s="394">
        <v>14.3</v>
      </c>
      <c r="N92" s="395">
        <v>14.06</v>
      </c>
      <c r="O92" s="2" t="str">
        <f>'Service-based'!C49</f>
        <v># DR and Direct Backup to Azure workloads</v>
      </c>
    </row>
    <row r="93" spans="1:15" ht="15" customHeight="1">
      <c r="A93" s="909"/>
      <c r="B93" s="918" t="s">
        <v>102</v>
      </c>
      <c r="C93" s="835" t="s">
        <v>107</v>
      </c>
      <c r="D93" s="148" t="s">
        <v>395</v>
      </c>
      <c r="E93" s="265" t="s">
        <v>3</v>
      </c>
      <c r="F93" s="245" t="s">
        <v>396</v>
      </c>
      <c r="G93" s="517">
        <v>0.189</v>
      </c>
      <c r="H93" s="518">
        <v>0.16599999999999998</v>
      </c>
      <c r="I93" s="519">
        <v>0.14299999999999999</v>
      </c>
      <c r="J93" s="519">
        <v>0.13200000000000001</v>
      </c>
      <c r="K93" s="520">
        <v>0.121</v>
      </c>
      <c r="L93" s="520">
        <v>0.11600000000000001</v>
      </c>
      <c r="M93" s="520">
        <v>0.11</v>
      </c>
      <c r="N93" s="521">
        <v>0.105</v>
      </c>
      <c r="O93" s="2" t="str">
        <f>'Service-based'!C53</f>
        <v>Acronis Cloud Storage for Email Archiving at Acronis Datacenter (for Per GB model)</v>
      </c>
    </row>
    <row r="94" spans="1:15" ht="14.45" customHeight="1">
      <c r="A94" s="909"/>
      <c r="B94" s="918"/>
      <c r="C94" s="835"/>
      <c r="D94" s="148" t="s">
        <v>397</v>
      </c>
      <c r="E94" s="149" t="s">
        <v>222</v>
      </c>
      <c r="F94" s="259" t="s">
        <v>398</v>
      </c>
      <c r="G94" s="522">
        <v>0.221</v>
      </c>
      <c r="H94" s="523">
        <v>0.19700000000000001</v>
      </c>
      <c r="I94" s="524">
        <v>0.17199999999999999</v>
      </c>
      <c r="J94" s="524">
        <v>0.151</v>
      </c>
      <c r="K94" s="525">
        <v>0.13300000000000001</v>
      </c>
      <c r="L94" s="525">
        <v>0.128</v>
      </c>
      <c r="M94" s="525">
        <v>0.122</v>
      </c>
      <c r="N94" s="526">
        <v>0.1163</v>
      </c>
      <c r="O94" s="2" t="str">
        <f>'Service-based'!C53</f>
        <v>Acronis Cloud Storage for Email Archiving at Acronis Datacenter (for Per GB model)</v>
      </c>
    </row>
    <row r="95" spans="1:15" ht="14.45" customHeight="1">
      <c r="A95" s="909"/>
      <c r="B95" s="918"/>
      <c r="C95" s="835"/>
      <c r="D95" s="148" t="s">
        <v>399</v>
      </c>
      <c r="E95" s="150" t="s">
        <v>198</v>
      </c>
      <c r="F95" s="264" t="s">
        <v>400</v>
      </c>
      <c r="G95" s="527">
        <v>0.11700000000000001</v>
      </c>
      <c r="H95" s="528">
        <v>0.10300000000000001</v>
      </c>
      <c r="I95" s="529">
        <v>8.8999999999999996E-2</v>
      </c>
      <c r="J95" s="529">
        <v>8.5500000000000007E-2</v>
      </c>
      <c r="K95" s="530">
        <v>7.4499999999999997E-2</v>
      </c>
      <c r="L95" s="530">
        <v>7.1500000000000008E-2</v>
      </c>
      <c r="M95" s="530">
        <v>6.8500000000000005E-2</v>
      </c>
      <c r="N95" s="531">
        <v>6.4299999999999996E-2</v>
      </c>
      <c r="O95" s="2" t="str">
        <f>'Service-based'!C54</f>
        <v>Email Archiving Cloud Storage  - Service Provider Hosted</v>
      </c>
    </row>
    <row r="96" spans="1:15" ht="15.6" customHeight="1">
      <c r="A96" s="909"/>
      <c r="B96" s="918"/>
      <c r="C96" s="835"/>
      <c r="D96" s="151" t="s">
        <v>401</v>
      </c>
      <c r="E96" s="150" t="s">
        <v>198</v>
      </c>
      <c r="F96" s="264" t="s">
        <v>402</v>
      </c>
      <c r="G96" s="532">
        <v>0.191</v>
      </c>
      <c r="H96" s="533">
        <v>0.17599999999999999</v>
      </c>
      <c r="I96" s="534">
        <v>0.161</v>
      </c>
      <c r="J96" s="534">
        <v>0.13800000000000001</v>
      </c>
      <c r="K96" s="535">
        <v>0.129</v>
      </c>
      <c r="L96" s="535">
        <v>0.127</v>
      </c>
      <c r="M96" s="535">
        <v>0.125</v>
      </c>
      <c r="N96" s="536">
        <v>0.12</v>
      </c>
      <c r="O96" s="2" t="str">
        <f>'Service-based'!C55</f>
        <v>Acronis Cloud Storage for Email Archiving at Azure/Google datacenters (for Per GB model)</v>
      </c>
    </row>
    <row r="97" spans="1:15" ht="15.6" customHeight="1" thickBot="1">
      <c r="A97" s="909"/>
      <c r="B97" s="918"/>
      <c r="C97" s="836"/>
      <c r="D97" s="152" t="s">
        <v>403</v>
      </c>
      <c r="E97" s="153" t="s">
        <v>198</v>
      </c>
      <c r="F97" s="261" t="s">
        <v>404</v>
      </c>
      <c r="G97" s="537">
        <v>0.191</v>
      </c>
      <c r="H97" s="538">
        <v>0.17599999999999999</v>
      </c>
      <c r="I97" s="539">
        <v>0.161</v>
      </c>
      <c r="J97" s="539">
        <v>0.13800000000000001</v>
      </c>
      <c r="K97" s="540">
        <v>0.129</v>
      </c>
      <c r="L97" s="540">
        <v>0.127</v>
      </c>
      <c r="M97" s="540">
        <v>0.125</v>
      </c>
      <c r="N97" s="541">
        <v>0.12</v>
      </c>
      <c r="O97" s="2"/>
    </row>
    <row r="98" spans="1:15" ht="14.45" customHeight="1">
      <c r="A98" s="909"/>
      <c r="B98" s="918"/>
      <c r="C98" s="920" t="s">
        <v>323</v>
      </c>
      <c r="D98" s="147" t="s">
        <v>405</v>
      </c>
      <c r="E98" s="265" t="s">
        <v>3</v>
      </c>
      <c r="F98" s="245" t="s">
        <v>406</v>
      </c>
      <c r="G98" s="542">
        <v>2</v>
      </c>
      <c r="H98" s="543">
        <v>1.84</v>
      </c>
      <c r="I98" s="544">
        <v>1.74</v>
      </c>
      <c r="J98" s="544">
        <v>1.58</v>
      </c>
      <c r="K98" s="544">
        <v>1.46</v>
      </c>
      <c r="L98" s="544">
        <v>1.4100000000000001</v>
      </c>
      <c r="M98" s="544">
        <v>1.36</v>
      </c>
      <c r="N98" s="545">
        <v>1.33</v>
      </c>
      <c r="O98" t="str">
        <f>'Service-based'!C50</f>
        <v># Microsoft 365 Archiving Seats (with unlimited Acronis Hosted Cloud storage*)</v>
      </c>
    </row>
    <row r="99" spans="1:15" s="141" customFormat="1" ht="14.45" customHeight="1">
      <c r="A99" s="909"/>
      <c r="B99" s="918"/>
      <c r="C99" s="920"/>
      <c r="D99" s="154" t="s">
        <v>407</v>
      </c>
      <c r="E99" s="149" t="s">
        <v>222</v>
      </c>
      <c r="F99" s="259" t="s">
        <v>408</v>
      </c>
      <c r="G99" s="373">
        <v>2.7</v>
      </c>
      <c r="H99" s="374">
        <v>2.48</v>
      </c>
      <c r="I99" s="374">
        <v>2.35</v>
      </c>
      <c r="J99" s="374">
        <v>2.13</v>
      </c>
      <c r="K99" s="374">
        <v>1.97</v>
      </c>
      <c r="L99" s="374">
        <v>1.91</v>
      </c>
      <c r="M99" s="374">
        <v>1.84</v>
      </c>
      <c r="N99" s="419">
        <v>1.8</v>
      </c>
      <c r="O99" t="str">
        <f>'Service-based'!C50</f>
        <v># Microsoft 365 Archiving Seats (with unlimited Acronis Hosted Cloud storage*)</v>
      </c>
    </row>
    <row r="100" spans="1:15" s="140" customFormat="1" ht="14.45" customHeight="1">
      <c r="A100" s="909"/>
      <c r="B100" s="918"/>
      <c r="C100" s="920"/>
      <c r="D100" s="142" t="s">
        <v>409</v>
      </c>
      <c r="E100" s="149" t="s">
        <v>198</v>
      </c>
      <c r="F100" s="264" t="s">
        <v>410</v>
      </c>
      <c r="G100" s="373">
        <v>1.29</v>
      </c>
      <c r="H100" s="374">
        <v>1.2</v>
      </c>
      <c r="I100" s="374">
        <v>1.1299999999999999</v>
      </c>
      <c r="J100" s="374">
        <v>1.03</v>
      </c>
      <c r="K100" s="374">
        <v>0.95</v>
      </c>
      <c r="L100" s="374">
        <v>0.92</v>
      </c>
      <c r="M100" s="374">
        <v>0.88</v>
      </c>
      <c r="N100" s="419">
        <v>0.86</v>
      </c>
      <c r="O100" t="str">
        <f>'Service-based'!C51</f>
        <v># Microsoft 365 Archiving Seats (for SP/Azure/Google Hosted storage)</v>
      </c>
    </row>
    <row r="101" spans="1:15" s="140" customFormat="1" ht="14.45" customHeight="1">
      <c r="A101" s="909"/>
      <c r="B101" s="918"/>
      <c r="C101" s="920"/>
      <c r="D101" s="151" t="s">
        <v>411</v>
      </c>
      <c r="E101" s="149" t="s">
        <v>198</v>
      </c>
      <c r="F101" s="264" t="s">
        <v>412</v>
      </c>
      <c r="G101" s="546">
        <v>8.5500000000000007E-2</v>
      </c>
      <c r="H101" s="547">
        <v>8.2799999999999999E-2</v>
      </c>
      <c r="I101" s="548">
        <v>0.08</v>
      </c>
      <c r="J101" s="548">
        <v>7.0000000000000007E-2</v>
      </c>
      <c r="K101" s="548">
        <v>6.8000000000000005E-2</v>
      </c>
      <c r="L101" s="547">
        <v>6.6500000000000004E-2</v>
      </c>
      <c r="M101" s="548">
        <v>6.5000000000000002E-2</v>
      </c>
      <c r="N101" s="549">
        <v>6.3399999999999998E-2</v>
      </c>
      <c r="O101" t="str">
        <f>'Service-based'!C52</f>
        <v>Acronis Cloud Storage for Email Archiving at Azure/Google datacenters (for Per Workload model)</v>
      </c>
    </row>
    <row r="102" spans="1:15" s="140" customFormat="1" ht="15" customHeight="1" thickBot="1">
      <c r="A102" s="909"/>
      <c r="B102" s="919"/>
      <c r="C102" s="921"/>
      <c r="D102" s="152" t="s">
        <v>413</v>
      </c>
      <c r="E102" s="149" t="s">
        <v>198</v>
      </c>
      <c r="F102" s="263" t="s">
        <v>414</v>
      </c>
      <c r="G102" s="550">
        <v>8.5500000000000007E-2</v>
      </c>
      <c r="H102" s="551">
        <v>8.2799999999999999E-2</v>
      </c>
      <c r="I102" s="552">
        <v>0.08</v>
      </c>
      <c r="J102" s="552">
        <v>7.0000000000000007E-2</v>
      </c>
      <c r="K102" s="552">
        <v>6.8000000000000005E-2</v>
      </c>
      <c r="L102" s="553">
        <v>6.6500000000000004E-2</v>
      </c>
      <c r="M102" s="552">
        <v>6.5000000000000002E-2</v>
      </c>
      <c r="N102" s="554">
        <v>6.3399999999999998E-2</v>
      </c>
      <c r="O102"/>
    </row>
    <row r="103" spans="1:15" s="140" customFormat="1" ht="14.45" customHeight="1">
      <c r="A103" s="909"/>
      <c r="B103" s="902" t="s">
        <v>415</v>
      </c>
      <c r="C103" s="855" t="s">
        <v>107</v>
      </c>
      <c r="D103" s="262" t="s">
        <v>416</v>
      </c>
      <c r="E103" s="119" t="s">
        <v>3</v>
      </c>
      <c r="F103" s="258" t="s">
        <v>417</v>
      </c>
      <c r="G103" s="472">
        <v>0.19500000000000001</v>
      </c>
      <c r="H103" s="473">
        <v>0.17100000000000001</v>
      </c>
      <c r="I103" s="474">
        <v>0.14749999999999999</v>
      </c>
      <c r="J103" s="475">
        <v>0.13600000000000001</v>
      </c>
      <c r="K103" s="475">
        <v>0.125</v>
      </c>
      <c r="L103" s="474">
        <v>0.1195</v>
      </c>
      <c r="M103" s="475">
        <v>0.1135</v>
      </c>
      <c r="N103" s="476">
        <v>0.10829999999999999</v>
      </c>
      <c r="O103" s="2" t="str">
        <f>'Service-based'!C57</f>
        <v>Cyber Files Cloud Acronis Hosted Storage</v>
      </c>
    </row>
    <row r="104" spans="1:15" ht="14.45" customHeight="1">
      <c r="A104" s="909"/>
      <c r="B104" s="904"/>
      <c r="C104" s="835"/>
      <c r="D104" s="177" t="s">
        <v>418</v>
      </c>
      <c r="E104" s="120" t="s">
        <v>222</v>
      </c>
      <c r="F104" s="259" t="s">
        <v>419</v>
      </c>
      <c r="G104" s="477">
        <v>0.22750000000000001</v>
      </c>
      <c r="H104" s="478">
        <v>0.20300000000000001</v>
      </c>
      <c r="I104" s="479">
        <v>0.17749999999999999</v>
      </c>
      <c r="J104" s="479">
        <v>0.1555</v>
      </c>
      <c r="K104" s="480">
        <v>0.13700000000000001</v>
      </c>
      <c r="L104" s="479">
        <v>0.13150000000000001</v>
      </c>
      <c r="M104" s="480">
        <v>0.126</v>
      </c>
      <c r="N104" s="481">
        <v>0.12</v>
      </c>
      <c r="O104" s="2" t="str">
        <f>O103</f>
        <v>Cyber Files Cloud Acronis Hosted Storage</v>
      </c>
    </row>
    <row r="105" spans="1:15" ht="15" customHeight="1" thickBot="1">
      <c r="A105" s="909"/>
      <c r="B105" s="904"/>
      <c r="C105" s="836"/>
      <c r="D105" s="266" t="s">
        <v>420</v>
      </c>
      <c r="E105" s="121" t="s">
        <v>198</v>
      </c>
      <c r="F105" s="261" t="s">
        <v>421</v>
      </c>
      <c r="G105" s="482">
        <v>0.11700000000000001</v>
      </c>
      <c r="H105" s="483">
        <v>0.10300000000000001</v>
      </c>
      <c r="I105" s="484">
        <v>8.8999999999999996E-2</v>
      </c>
      <c r="J105" s="485">
        <v>8.5500000000000007E-2</v>
      </c>
      <c r="K105" s="485">
        <v>7.4499999999999997E-2</v>
      </c>
      <c r="L105" s="485">
        <v>7.1500000000000008E-2</v>
      </c>
      <c r="M105" s="485">
        <v>6.8500000000000005E-2</v>
      </c>
      <c r="N105" s="486">
        <v>6.4299999999999996E-2</v>
      </c>
      <c r="O105" s="3" t="str">
        <f>'Service-based'!C58</f>
        <v>Cyber Files Cloud Service Provider Hosted Storage</v>
      </c>
    </row>
    <row r="106" spans="1:15" ht="14.45" customHeight="1">
      <c r="A106" s="909"/>
      <c r="B106" s="904"/>
      <c r="C106" s="855" t="s">
        <v>115</v>
      </c>
      <c r="D106" s="321" t="s">
        <v>422</v>
      </c>
      <c r="E106" s="119" t="s">
        <v>198</v>
      </c>
      <c r="F106" s="258" t="s">
        <v>423</v>
      </c>
      <c r="G106" s="505">
        <v>2.57</v>
      </c>
      <c r="H106" s="506">
        <v>2.3099999999999996</v>
      </c>
      <c r="I106" s="507">
        <v>2.0499999999999998</v>
      </c>
      <c r="J106" s="507">
        <v>1.5399999999999998</v>
      </c>
      <c r="K106" s="507">
        <v>1.37</v>
      </c>
      <c r="L106" s="507">
        <v>1.31</v>
      </c>
      <c r="M106" s="507">
        <v>1.25</v>
      </c>
      <c r="N106" s="508">
        <v>1.17</v>
      </c>
      <c r="O106" s="2" t="str">
        <f>'Service-based'!C59</f>
        <v># of Cyber Files Users</v>
      </c>
    </row>
    <row r="107" spans="1:15" ht="14.45" customHeight="1">
      <c r="A107" s="909"/>
      <c r="B107" s="904"/>
      <c r="C107" s="835"/>
      <c r="D107" s="177" t="s">
        <v>424</v>
      </c>
      <c r="E107" s="120" t="s">
        <v>3</v>
      </c>
      <c r="F107" s="259" t="s">
        <v>425</v>
      </c>
      <c r="G107" s="477">
        <v>7.5999999999999998E-2</v>
      </c>
      <c r="H107" s="491">
        <v>6.8500000000000005E-2</v>
      </c>
      <c r="I107" s="479">
        <v>6.1499999999999999E-2</v>
      </c>
      <c r="J107" s="479">
        <v>0.05</v>
      </c>
      <c r="K107" s="479">
        <v>4.5499999999999999E-2</v>
      </c>
      <c r="L107" s="479">
        <v>4.3400000000000001E-2</v>
      </c>
      <c r="M107" s="479">
        <v>4.1200000000000001E-2</v>
      </c>
      <c r="N107" s="481">
        <v>4.02E-2</v>
      </c>
      <c r="O107" s="2" t="str">
        <f>'Service-based'!C60</f>
        <v xml:space="preserve"> Cyber Files Cloud Acronis Hosted Storage</v>
      </c>
    </row>
    <row r="108" spans="1:15" ht="14.45" customHeight="1" thickBot="1">
      <c r="A108" s="909"/>
      <c r="B108" s="904"/>
      <c r="C108" s="836"/>
      <c r="D108" s="266" t="s">
        <v>426</v>
      </c>
      <c r="E108" s="121" t="s">
        <v>222</v>
      </c>
      <c r="F108" s="261" t="s">
        <v>427</v>
      </c>
      <c r="G108" s="492">
        <v>9.8000000000000004E-2</v>
      </c>
      <c r="H108" s="493">
        <v>8.7499999999999994E-2</v>
      </c>
      <c r="I108" s="485">
        <v>7.6999999999999999E-2</v>
      </c>
      <c r="J108" s="485">
        <v>6.25E-2</v>
      </c>
      <c r="K108" s="485">
        <v>5.67E-2</v>
      </c>
      <c r="L108" s="485">
        <v>5.4099999999999995E-2</v>
      </c>
      <c r="M108" s="485">
        <v>5.1499999999999997E-2</v>
      </c>
      <c r="N108" s="486">
        <v>5.0299999999999997E-2</v>
      </c>
      <c r="O108" s="2" t="str">
        <f>O107</f>
        <v xml:space="preserve"> Cyber Files Cloud Acronis Hosted Storage</v>
      </c>
    </row>
    <row r="109" spans="1:15" ht="14.45" customHeight="1">
      <c r="A109" s="909"/>
      <c r="B109" s="904"/>
      <c r="C109" s="835" t="s">
        <v>428</v>
      </c>
      <c r="D109" s="267" t="s">
        <v>429</v>
      </c>
      <c r="E109" s="114" t="s">
        <v>198</v>
      </c>
      <c r="F109" s="245" t="s">
        <v>430</v>
      </c>
      <c r="G109" s="487">
        <v>1.54</v>
      </c>
      <c r="H109" s="488">
        <v>1.49</v>
      </c>
      <c r="I109" s="489">
        <v>1.44</v>
      </c>
      <c r="J109" s="489">
        <v>1.4</v>
      </c>
      <c r="K109" s="489">
        <v>1.32</v>
      </c>
      <c r="L109" s="489">
        <v>1.3</v>
      </c>
      <c r="M109" s="489">
        <v>1.28</v>
      </c>
      <c r="N109" s="490">
        <v>1.25</v>
      </c>
      <c r="O109" s="2" t="str">
        <f>'Service-based'!C61</f>
        <v># of Advanced FSS eSignatures (per eSignature)</v>
      </c>
    </row>
    <row r="110" spans="1:15" ht="15" customHeight="1" thickBot="1">
      <c r="A110" s="909"/>
      <c r="B110" s="913"/>
      <c r="C110" s="836"/>
      <c r="D110" s="266" t="s">
        <v>431</v>
      </c>
      <c r="E110" s="121" t="s">
        <v>198</v>
      </c>
      <c r="F110" s="261" t="s">
        <v>432</v>
      </c>
      <c r="G110" s="482">
        <v>4.3999999999999997E-2</v>
      </c>
      <c r="H110" s="483">
        <v>0.04</v>
      </c>
      <c r="I110" s="484">
        <v>3.5000000000000003E-2</v>
      </c>
      <c r="J110" s="484">
        <v>3.3000000000000002E-2</v>
      </c>
      <c r="K110" s="484">
        <v>3.2000000000000001E-2</v>
      </c>
      <c r="L110" s="485">
        <v>3.0499999999999999E-2</v>
      </c>
      <c r="M110" s="484">
        <v>2.9000000000000001E-2</v>
      </c>
      <c r="N110" s="486">
        <v>2.8299999999999999E-2</v>
      </c>
      <c r="O110" s="2" t="str">
        <f>'Service-based'!C62</f>
        <v># of Advanced FSS Notarizations (per file)</v>
      </c>
    </row>
    <row r="111" spans="1:15" ht="18.95" customHeight="1" thickBot="1">
      <c r="A111" s="909"/>
      <c r="B111" s="915" t="s">
        <v>433</v>
      </c>
      <c r="C111" s="916"/>
      <c r="D111" s="268" t="s">
        <v>434</v>
      </c>
      <c r="E111" s="243" t="s">
        <v>198</v>
      </c>
      <c r="F111" s="244" t="s">
        <v>435</v>
      </c>
      <c r="G111" s="555">
        <v>119</v>
      </c>
      <c r="H111" s="556">
        <v>119</v>
      </c>
      <c r="I111" s="557">
        <v>119</v>
      </c>
      <c r="J111" s="557">
        <v>119</v>
      </c>
      <c r="K111" s="557">
        <v>119</v>
      </c>
      <c r="L111" s="557">
        <v>119</v>
      </c>
      <c r="M111" s="557">
        <v>119</v>
      </c>
      <c r="N111" s="558">
        <v>119</v>
      </c>
      <c r="O111" s="2"/>
    </row>
    <row r="112" spans="1:15" ht="18.95" customHeight="1" thickBot="1">
      <c r="A112" s="909"/>
      <c r="B112" s="851" t="s">
        <v>123</v>
      </c>
      <c r="C112" s="917"/>
      <c r="D112" s="269" t="s">
        <v>436</v>
      </c>
      <c r="E112" s="173" t="s">
        <v>198</v>
      </c>
      <c r="F112" s="270" t="s">
        <v>437</v>
      </c>
      <c r="G112" s="559">
        <v>2.4E-2</v>
      </c>
      <c r="H112" s="560">
        <v>2.1000000000000001E-2</v>
      </c>
      <c r="I112" s="561">
        <v>1.8000000000000002E-2</v>
      </c>
      <c r="J112" s="561">
        <v>1.6E-2</v>
      </c>
      <c r="K112" s="561">
        <v>1.3999999999999999E-2</v>
      </c>
      <c r="L112" s="562">
        <v>1.3499999999999998E-2</v>
      </c>
      <c r="M112" s="561">
        <v>1.2999999999999999E-2</v>
      </c>
      <c r="N112" s="563">
        <v>1.2699999999999999E-2</v>
      </c>
      <c r="O112" s="4" t="str">
        <f>'Service-based'!C64</f>
        <v>Storage Required for S3/iSCSI/NFS/Compute (Per GB)</v>
      </c>
    </row>
    <row r="113" spans="1:14" ht="15" customHeight="1">
      <c r="A113" s="893" t="s">
        <v>438</v>
      </c>
      <c r="B113" s="894"/>
      <c r="C113" s="894"/>
      <c r="D113" s="894"/>
      <c r="E113" s="894"/>
      <c r="F113" s="894"/>
      <c r="G113" s="894"/>
      <c r="H113" s="894"/>
      <c r="I113" s="894"/>
      <c r="J113" s="894"/>
      <c r="K113" s="894"/>
      <c r="L113" s="894"/>
      <c r="M113" s="894"/>
      <c r="N113" s="895"/>
    </row>
    <row r="114" spans="1:14" ht="15" customHeight="1">
      <c r="A114" s="896"/>
      <c r="B114" s="897"/>
      <c r="C114" s="897"/>
      <c r="D114" s="897"/>
      <c r="E114" s="897"/>
      <c r="F114" s="897"/>
      <c r="G114" s="897"/>
      <c r="H114" s="897"/>
      <c r="I114" s="897"/>
      <c r="J114" s="897"/>
      <c r="K114" s="897"/>
      <c r="L114" s="897"/>
      <c r="M114" s="897"/>
      <c r="N114" s="898"/>
    </row>
    <row r="115" spans="1:14" ht="15" customHeight="1">
      <c r="A115" s="896"/>
      <c r="B115" s="897"/>
      <c r="C115" s="897"/>
      <c r="D115" s="897"/>
      <c r="E115" s="897"/>
      <c r="F115" s="897"/>
      <c r="G115" s="897"/>
      <c r="H115" s="897"/>
      <c r="I115" s="897"/>
      <c r="J115" s="897"/>
      <c r="K115" s="897"/>
      <c r="L115" s="897"/>
      <c r="M115" s="897"/>
      <c r="N115" s="898"/>
    </row>
    <row r="116" spans="1:14" ht="15" thickBot="1">
      <c r="A116" s="899" t="s">
        <v>439</v>
      </c>
      <c r="B116" s="900"/>
      <c r="C116" s="900"/>
      <c r="D116" s="900"/>
      <c r="E116" s="900"/>
      <c r="F116" s="900"/>
      <c r="G116" s="900"/>
      <c r="H116" s="900"/>
      <c r="I116" s="900"/>
      <c r="J116" s="900"/>
      <c r="K116" s="900"/>
      <c r="L116" s="900"/>
      <c r="M116" s="900"/>
      <c r="N116" s="901"/>
    </row>
    <row r="117" spans="1:14" s="337" customFormat="1">
      <c r="G117" s="340"/>
      <c r="H117" s="340"/>
      <c r="I117" s="340"/>
      <c r="J117" s="340"/>
      <c r="K117" s="340"/>
      <c r="L117" s="340"/>
      <c r="M117" s="340"/>
      <c r="N117" s="340"/>
    </row>
    <row r="118" spans="1:14" s="141" customFormat="1" hidden="1">
      <c r="F118" s="338">
        <v>0</v>
      </c>
      <c r="G118" s="341">
        <v>1</v>
      </c>
      <c r="H118" s="341">
        <v>2</v>
      </c>
      <c r="I118" s="341">
        <v>3</v>
      </c>
      <c r="J118" s="341">
        <v>4</v>
      </c>
      <c r="K118" s="341">
        <v>5</v>
      </c>
      <c r="L118" s="341">
        <v>6</v>
      </c>
      <c r="M118" s="341">
        <v>7</v>
      </c>
      <c r="N118" s="341">
        <v>8</v>
      </c>
    </row>
    <row r="119" spans="1:14" s="141" customFormat="1" hidden="1">
      <c r="F119" s="339">
        <v>0</v>
      </c>
      <c r="G119" s="342">
        <f t="shared" ref="G119:M119" si="1">G2</f>
        <v>350</v>
      </c>
      <c r="H119" s="342">
        <f t="shared" si="1"/>
        <v>700</v>
      </c>
      <c r="I119" s="342">
        <f t="shared" si="1"/>
        <v>1500</v>
      </c>
      <c r="J119" s="342">
        <f t="shared" si="1"/>
        <v>3000</v>
      </c>
      <c r="K119" s="342">
        <f t="shared" si="1"/>
        <v>6000</v>
      </c>
      <c r="L119" s="342">
        <f>L2</f>
        <v>10500</v>
      </c>
      <c r="M119" s="342">
        <f t="shared" si="1"/>
        <v>15000</v>
      </c>
      <c r="N119" s="342">
        <f>N2</f>
        <v>22500</v>
      </c>
    </row>
    <row r="120" spans="1:14" s="337" customFormat="1">
      <c r="G120" s="340"/>
      <c r="H120" s="340"/>
      <c r="I120" s="340"/>
      <c r="J120" s="340"/>
      <c r="K120" s="340"/>
      <c r="L120" s="340"/>
      <c r="M120" s="340"/>
      <c r="N120" s="340"/>
    </row>
    <row r="121" spans="1:14" s="337" customFormat="1">
      <c r="G121" s="340"/>
      <c r="H121" s="340"/>
      <c r="I121" s="340"/>
      <c r="J121" s="340"/>
      <c r="K121" s="340"/>
      <c r="L121" s="340"/>
      <c r="M121" s="340"/>
      <c r="N121" s="340"/>
    </row>
    <row r="122" spans="1:14" s="337" customFormat="1">
      <c r="G122" s="340"/>
      <c r="H122" s="340"/>
      <c r="I122" s="340"/>
      <c r="J122" s="340"/>
      <c r="K122" s="340"/>
      <c r="L122" s="340"/>
      <c r="M122" s="340"/>
      <c r="N122" s="340"/>
    </row>
    <row r="123" spans="1:14">
      <c r="G123" s="340"/>
      <c r="H123" s="340"/>
      <c r="I123" s="340"/>
      <c r="J123" s="340"/>
      <c r="K123" s="340"/>
      <c r="L123" s="340"/>
      <c r="M123" s="340"/>
      <c r="N123" s="340"/>
    </row>
    <row r="124" spans="1:14">
      <c r="G124" s="340"/>
      <c r="H124" s="340"/>
      <c r="I124" s="340"/>
      <c r="J124" s="340"/>
      <c r="K124" s="340"/>
      <c r="L124" s="340"/>
      <c r="M124" s="340"/>
      <c r="N124" s="340"/>
    </row>
    <row r="125" spans="1:14">
      <c r="G125" s="340"/>
      <c r="H125" s="340"/>
      <c r="I125" s="340"/>
      <c r="J125" s="340"/>
      <c r="K125" s="340"/>
      <c r="L125" s="340"/>
      <c r="M125" s="340"/>
      <c r="N125" s="340"/>
    </row>
  </sheetData>
  <sheetProtection algorithmName="SHA-512" hashValue="bz2P0bxbb4TBZl+6JTuWGPkIqvh25ItllPlxj5QQ24Tf0qCxGoug2onp3SwI6tXcZi9x3we+x0Y1bWnr9S69sQ==" saltValue="RfZTHhdBPXT0S/6rNLNteg==" spinCount="100000" sheet="1" objects="1" scenarios="1"/>
  <mergeCells count="41">
    <mergeCell ref="A113:N115"/>
    <mergeCell ref="A116:N116"/>
    <mergeCell ref="B81:C86"/>
    <mergeCell ref="B51:C51"/>
    <mergeCell ref="B52:B80"/>
    <mergeCell ref="C52:C57"/>
    <mergeCell ref="C58:C76"/>
    <mergeCell ref="C78:C80"/>
    <mergeCell ref="A40:A112"/>
    <mergeCell ref="B87:C92"/>
    <mergeCell ref="B111:C111"/>
    <mergeCell ref="B112:C112"/>
    <mergeCell ref="B93:B102"/>
    <mergeCell ref="C93:C97"/>
    <mergeCell ref="C98:C102"/>
    <mergeCell ref="B103:B110"/>
    <mergeCell ref="F1:F2"/>
    <mergeCell ref="B40:C40"/>
    <mergeCell ref="B3:C5"/>
    <mergeCell ref="B33:C34"/>
    <mergeCell ref="B30:C31"/>
    <mergeCell ref="B32:C32"/>
    <mergeCell ref="B38:C39"/>
    <mergeCell ref="D1:D2"/>
    <mergeCell ref="B35:C37"/>
    <mergeCell ref="A1:C2"/>
    <mergeCell ref="A3:A39"/>
    <mergeCell ref="B6:B19"/>
    <mergeCell ref="C6:C12"/>
    <mergeCell ref="C13:C19"/>
    <mergeCell ref="B20:B29"/>
    <mergeCell ref="C109:C110"/>
    <mergeCell ref="B46:C48"/>
    <mergeCell ref="B49:C49"/>
    <mergeCell ref="B50:C50"/>
    <mergeCell ref="E1:E2"/>
    <mergeCell ref="C20:C24"/>
    <mergeCell ref="C25:C29"/>
    <mergeCell ref="B41:C45"/>
    <mergeCell ref="C103:C105"/>
    <mergeCell ref="C106:C108"/>
  </mergeCells>
  <hyperlinks>
    <hyperlink ref="A116" r:id="rId1" location="cyber-cloud-fair-usage" xr:uid="{AC1FD4AD-2097-42E9-A945-B1CEB4CDD2B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0EF1F-494D-4714-9EA8-57DEFE5DB265}">
  <dimension ref="A1:G61"/>
  <sheetViews>
    <sheetView workbookViewId="0"/>
  </sheetViews>
  <sheetFormatPr defaultRowHeight="14.45"/>
  <cols>
    <col min="2" max="2" width="12.85546875" bestFit="1" customWidth="1"/>
    <col min="3" max="3" width="18.5703125" customWidth="1"/>
    <col min="4" max="4" width="13.85546875" bestFit="1" customWidth="1"/>
    <col min="5" max="5" width="17.5703125" bestFit="1" customWidth="1"/>
    <col min="6" max="6" width="17.85546875" customWidth="1"/>
  </cols>
  <sheetData>
    <row r="1" spans="1:7">
      <c r="A1" s="133" t="s">
        <v>440</v>
      </c>
    </row>
    <row r="2" spans="1:7" ht="29.1">
      <c r="A2" s="183" t="s">
        <v>441</v>
      </c>
      <c r="B2" s="184" t="s">
        <v>442</v>
      </c>
      <c r="C2" s="185" t="s">
        <v>443</v>
      </c>
      <c r="D2" s="185" t="s">
        <v>444</v>
      </c>
      <c r="E2" s="186" t="s">
        <v>445</v>
      </c>
      <c r="F2" s="187" t="s">
        <v>446</v>
      </c>
      <c r="G2" s="55" t="s">
        <v>3</v>
      </c>
    </row>
    <row r="3" spans="1:7">
      <c r="A3" s="188">
        <v>1</v>
      </c>
      <c r="B3" s="189" t="s">
        <v>447</v>
      </c>
      <c r="C3" s="51" t="s">
        <v>3</v>
      </c>
      <c r="D3" s="111" t="s">
        <v>448</v>
      </c>
      <c r="E3" s="112" t="s">
        <v>449</v>
      </c>
      <c r="F3" s="190" t="s">
        <v>11</v>
      </c>
      <c r="G3" s="55" t="s">
        <v>222</v>
      </c>
    </row>
    <row r="4" spans="1:7">
      <c r="A4" s="191">
        <v>2</v>
      </c>
      <c r="B4" s="192" t="s">
        <v>447</v>
      </c>
      <c r="C4" s="52" t="s">
        <v>3</v>
      </c>
      <c r="D4" s="109" t="s">
        <v>448</v>
      </c>
      <c r="E4" s="110" t="s">
        <v>450</v>
      </c>
      <c r="F4" s="193" t="s">
        <v>11</v>
      </c>
      <c r="G4" s="55"/>
    </row>
    <row r="5" spans="1:7">
      <c r="A5" s="188">
        <v>3</v>
      </c>
      <c r="B5" s="189" t="s">
        <v>447</v>
      </c>
      <c r="C5" s="51" t="s">
        <v>3</v>
      </c>
      <c r="D5" s="111" t="s">
        <v>451</v>
      </c>
      <c r="E5" s="112" t="s">
        <v>452</v>
      </c>
      <c r="F5" s="190" t="s">
        <v>11</v>
      </c>
    </row>
    <row r="6" spans="1:7">
      <c r="A6" s="191">
        <v>4</v>
      </c>
      <c r="B6" s="192" t="s">
        <v>447</v>
      </c>
      <c r="C6" s="52" t="s">
        <v>3</v>
      </c>
      <c r="D6" s="109" t="s">
        <v>453</v>
      </c>
      <c r="E6" s="110" t="s">
        <v>454</v>
      </c>
      <c r="F6" s="193"/>
    </row>
    <row r="7" spans="1:7">
      <c r="A7" s="188">
        <v>5</v>
      </c>
      <c r="B7" s="189" t="s">
        <v>447</v>
      </c>
      <c r="C7" s="51" t="s">
        <v>3</v>
      </c>
      <c r="D7" s="111" t="s">
        <v>455</v>
      </c>
      <c r="E7" s="112" t="s">
        <v>456</v>
      </c>
      <c r="F7" s="190"/>
    </row>
    <row r="8" spans="1:7">
      <c r="A8" s="191">
        <v>6</v>
      </c>
      <c r="B8" s="192" t="s">
        <v>447</v>
      </c>
      <c r="C8" s="52" t="s">
        <v>3</v>
      </c>
      <c r="D8" s="109" t="s">
        <v>457</v>
      </c>
      <c r="E8" s="110" t="s">
        <v>458</v>
      </c>
      <c r="F8" s="193"/>
    </row>
    <row r="9" spans="1:7">
      <c r="A9" s="188">
        <v>7</v>
      </c>
      <c r="B9" s="189" t="s">
        <v>447</v>
      </c>
      <c r="C9" s="51" t="s">
        <v>3</v>
      </c>
      <c r="D9" s="111" t="s">
        <v>457</v>
      </c>
      <c r="E9" s="112" t="s">
        <v>459</v>
      </c>
      <c r="F9" s="190"/>
    </row>
    <row r="10" spans="1:7">
      <c r="A10" s="191">
        <v>8</v>
      </c>
      <c r="B10" s="192" t="s">
        <v>447</v>
      </c>
      <c r="C10" s="52" t="s">
        <v>3</v>
      </c>
      <c r="D10" s="109" t="s">
        <v>451</v>
      </c>
      <c r="E10" s="110" t="s">
        <v>460</v>
      </c>
      <c r="F10" s="193" t="s">
        <v>11</v>
      </c>
    </row>
    <row r="11" spans="1:7">
      <c r="A11" s="188">
        <v>9</v>
      </c>
      <c r="B11" s="189" t="s">
        <v>447</v>
      </c>
      <c r="C11" s="51" t="s">
        <v>3</v>
      </c>
      <c r="D11" s="111" t="s">
        <v>461</v>
      </c>
      <c r="E11" s="112" t="s">
        <v>462</v>
      </c>
      <c r="F11" s="190"/>
    </row>
    <row r="12" spans="1:7">
      <c r="A12" s="191">
        <v>10</v>
      </c>
      <c r="B12" s="192" t="s">
        <v>447</v>
      </c>
      <c r="C12" s="52" t="s">
        <v>3</v>
      </c>
      <c r="D12" s="109" t="s">
        <v>448</v>
      </c>
      <c r="E12" s="110" t="s">
        <v>463</v>
      </c>
      <c r="F12" s="193"/>
    </row>
    <row r="13" spans="1:7">
      <c r="A13" s="188">
        <v>11</v>
      </c>
      <c r="B13" s="189" t="s">
        <v>447</v>
      </c>
      <c r="C13" s="51" t="s">
        <v>3</v>
      </c>
      <c r="D13" s="111" t="s">
        <v>464</v>
      </c>
      <c r="E13" s="112" t="s">
        <v>464</v>
      </c>
      <c r="F13" s="190"/>
    </row>
    <row r="14" spans="1:7">
      <c r="A14" s="191">
        <v>12</v>
      </c>
      <c r="B14" s="192" t="s">
        <v>447</v>
      </c>
      <c r="C14" s="52" t="s">
        <v>3</v>
      </c>
      <c r="D14" s="109" t="s">
        <v>465</v>
      </c>
      <c r="E14" s="110" t="s">
        <v>466</v>
      </c>
      <c r="F14" s="193"/>
    </row>
    <row r="15" spans="1:7">
      <c r="A15" s="188">
        <v>13</v>
      </c>
      <c r="B15" s="189" t="s">
        <v>447</v>
      </c>
      <c r="C15" s="51" t="s">
        <v>3</v>
      </c>
      <c r="D15" s="111" t="s">
        <v>467</v>
      </c>
      <c r="E15" s="112" t="s">
        <v>468</v>
      </c>
      <c r="F15" s="190" t="s">
        <v>11</v>
      </c>
    </row>
    <row r="16" spans="1:7">
      <c r="A16" s="191">
        <v>14</v>
      </c>
      <c r="B16" s="192" t="s">
        <v>447</v>
      </c>
      <c r="C16" s="52" t="s">
        <v>3</v>
      </c>
      <c r="D16" s="109" t="s">
        <v>467</v>
      </c>
      <c r="E16" s="110" t="s">
        <v>469</v>
      </c>
      <c r="F16" s="193" t="s">
        <v>11</v>
      </c>
    </row>
    <row r="17" spans="1:6">
      <c r="A17" s="188">
        <v>15</v>
      </c>
      <c r="B17" s="189" t="s">
        <v>447</v>
      </c>
      <c r="C17" s="51" t="s">
        <v>3</v>
      </c>
      <c r="D17" s="111" t="s">
        <v>470</v>
      </c>
      <c r="E17" s="112" t="s">
        <v>471</v>
      </c>
      <c r="F17" s="190"/>
    </row>
    <row r="18" spans="1:6">
      <c r="A18" s="191">
        <v>16</v>
      </c>
      <c r="B18" s="192" t="s">
        <v>447</v>
      </c>
      <c r="C18" s="52" t="s">
        <v>3</v>
      </c>
      <c r="D18" s="109" t="s">
        <v>472</v>
      </c>
      <c r="E18" s="110" t="s">
        <v>473</v>
      </c>
      <c r="F18" s="193"/>
    </row>
    <row r="19" spans="1:6">
      <c r="A19" s="188">
        <v>17</v>
      </c>
      <c r="B19" s="189" t="s">
        <v>447</v>
      </c>
      <c r="C19" s="51" t="s">
        <v>3</v>
      </c>
      <c r="D19" s="111" t="s">
        <v>474</v>
      </c>
      <c r="E19" s="112" t="s">
        <v>475</v>
      </c>
      <c r="F19" s="190"/>
    </row>
    <row r="20" spans="1:6">
      <c r="A20" s="191">
        <v>18</v>
      </c>
      <c r="B20" s="192" t="s">
        <v>447</v>
      </c>
      <c r="C20" s="52" t="s">
        <v>3</v>
      </c>
      <c r="D20" s="109" t="s">
        <v>476</v>
      </c>
      <c r="E20" s="110" t="s">
        <v>477</v>
      </c>
      <c r="F20" s="193"/>
    </row>
    <row r="21" spans="1:6">
      <c r="A21" s="188">
        <v>19</v>
      </c>
      <c r="B21" s="189" t="s">
        <v>447</v>
      </c>
      <c r="C21" s="51" t="s">
        <v>3</v>
      </c>
      <c r="D21" s="111" t="s">
        <v>478</v>
      </c>
      <c r="E21" s="112" t="s">
        <v>479</v>
      </c>
      <c r="F21" s="190"/>
    </row>
    <row r="22" spans="1:6">
      <c r="A22" s="191">
        <v>20</v>
      </c>
      <c r="B22" s="192" t="s">
        <v>447</v>
      </c>
      <c r="C22" s="52" t="s">
        <v>3</v>
      </c>
      <c r="D22" s="109" t="s">
        <v>480</v>
      </c>
      <c r="E22" s="110" t="s">
        <v>481</v>
      </c>
      <c r="F22" s="193"/>
    </row>
    <row r="23" spans="1:6">
      <c r="A23" s="188">
        <v>21</v>
      </c>
      <c r="B23" s="189" t="s">
        <v>447</v>
      </c>
      <c r="C23" s="51" t="s">
        <v>3</v>
      </c>
      <c r="D23" s="111" t="s">
        <v>482</v>
      </c>
      <c r="E23" s="112" t="s">
        <v>483</v>
      </c>
      <c r="F23" s="190"/>
    </row>
    <row r="24" spans="1:6">
      <c r="A24" s="191">
        <v>22</v>
      </c>
      <c r="B24" s="192" t="s">
        <v>447</v>
      </c>
      <c r="C24" s="52" t="s">
        <v>3</v>
      </c>
      <c r="D24" s="109" t="s">
        <v>484</v>
      </c>
      <c r="E24" s="110" t="s">
        <v>485</v>
      </c>
      <c r="F24" s="193"/>
    </row>
    <row r="25" spans="1:6">
      <c r="A25" s="188">
        <v>23</v>
      </c>
      <c r="B25" s="189" t="s">
        <v>447</v>
      </c>
      <c r="C25" s="51" t="s">
        <v>3</v>
      </c>
      <c r="D25" s="111" t="s">
        <v>486</v>
      </c>
      <c r="E25" s="112" t="s">
        <v>487</v>
      </c>
      <c r="F25" s="190"/>
    </row>
    <row r="26" spans="1:6">
      <c r="A26" s="191">
        <v>24</v>
      </c>
      <c r="B26" s="192" t="s">
        <v>447</v>
      </c>
      <c r="C26" s="52" t="s">
        <v>3</v>
      </c>
      <c r="D26" s="109" t="s">
        <v>488</v>
      </c>
      <c r="E26" s="110" t="s">
        <v>489</v>
      </c>
      <c r="F26" s="193"/>
    </row>
    <row r="27" spans="1:6">
      <c r="A27" s="188">
        <v>25</v>
      </c>
      <c r="B27" s="189" t="s">
        <v>447</v>
      </c>
      <c r="C27" s="51" t="s">
        <v>3</v>
      </c>
      <c r="D27" s="111" t="s">
        <v>490</v>
      </c>
      <c r="E27" s="112" t="s">
        <v>491</v>
      </c>
      <c r="F27" s="190"/>
    </row>
    <row r="28" spans="1:6">
      <c r="A28" s="191">
        <v>26</v>
      </c>
      <c r="B28" s="192" t="s">
        <v>447</v>
      </c>
      <c r="C28" s="52" t="s">
        <v>3</v>
      </c>
      <c r="D28" s="109" t="s">
        <v>492</v>
      </c>
      <c r="E28" s="110" t="s">
        <v>493</v>
      </c>
      <c r="F28" s="193"/>
    </row>
    <row r="29" spans="1:6">
      <c r="A29" s="188">
        <v>27</v>
      </c>
      <c r="B29" s="189" t="s">
        <v>447</v>
      </c>
      <c r="C29" s="51" t="s">
        <v>3</v>
      </c>
      <c r="D29" s="111" t="s">
        <v>494</v>
      </c>
      <c r="E29" s="112" t="s">
        <v>495</v>
      </c>
      <c r="F29" s="190"/>
    </row>
    <row r="30" spans="1:6">
      <c r="A30" s="191">
        <v>28</v>
      </c>
      <c r="B30" s="192" t="s">
        <v>447</v>
      </c>
      <c r="C30" s="52" t="s">
        <v>3</v>
      </c>
      <c r="D30" s="109" t="s">
        <v>496</v>
      </c>
      <c r="E30" s="110" t="s">
        <v>497</v>
      </c>
      <c r="F30" s="193"/>
    </row>
    <row r="31" spans="1:6">
      <c r="A31" s="188">
        <v>29</v>
      </c>
      <c r="B31" s="189" t="s">
        <v>447</v>
      </c>
      <c r="C31" s="51" t="s">
        <v>3</v>
      </c>
      <c r="D31" s="111" t="s">
        <v>498</v>
      </c>
      <c r="E31" s="112" t="s">
        <v>499</v>
      </c>
      <c r="F31" s="190"/>
    </row>
    <row r="32" spans="1:6">
      <c r="A32" s="191">
        <v>30</v>
      </c>
      <c r="B32" s="192" t="s">
        <v>447</v>
      </c>
      <c r="C32" s="52" t="s">
        <v>3</v>
      </c>
      <c r="D32" s="109" t="s">
        <v>500</v>
      </c>
      <c r="E32" s="110" t="s">
        <v>501</v>
      </c>
      <c r="F32" s="193"/>
    </row>
    <row r="33" spans="1:6">
      <c r="A33" s="188">
        <v>31</v>
      </c>
      <c r="B33" s="189" t="s">
        <v>447</v>
      </c>
      <c r="C33" s="51" t="s">
        <v>3</v>
      </c>
      <c r="D33" s="111" t="s">
        <v>502</v>
      </c>
      <c r="E33" s="112" t="s">
        <v>503</v>
      </c>
      <c r="F33" s="190"/>
    </row>
    <row r="34" spans="1:6">
      <c r="A34" s="191">
        <v>32</v>
      </c>
      <c r="B34" s="192" t="s">
        <v>447</v>
      </c>
      <c r="C34" s="52" t="s">
        <v>3</v>
      </c>
      <c r="D34" s="109" t="s">
        <v>504</v>
      </c>
      <c r="E34" s="110" t="s">
        <v>505</v>
      </c>
      <c r="F34" s="193"/>
    </row>
    <row r="35" spans="1:6">
      <c r="A35" s="188">
        <v>33</v>
      </c>
      <c r="B35" s="189" t="s">
        <v>447</v>
      </c>
      <c r="C35" s="51" t="s">
        <v>3</v>
      </c>
      <c r="D35" s="111" t="s">
        <v>506</v>
      </c>
      <c r="E35" s="112" t="s">
        <v>507</v>
      </c>
      <c r="F35" s="190"/>
    </row>
    <row r="36" spans="1:6">
      <c r="A36" s="191">
        <v>34</v>
      </c>
      <c r="B36" s="192" t="s">
        <v>447</v>
      </c>
      <c r="C36" s="52" t="s">
        <v>3</v>
      </c>
      <c r="D36" s="109" t="s">
        <v>508</v>
      </c>
      <c r="E36" s="110" t="s">
        <v>509</v>
      </c>
      <c r="F36" s="193"/>
    </row>
    <row r="37" spans="1:6">
      <c r="A37" s="188">
        <v>35</v>
      </c>
      <c r="B37" s="189" t="s">
        <v>447</v>
      </c>
      <c r="C37" s="51" t="s">
        <v>3</v>
      </c>
      <c r="D37" s="111" t="s">
        <v>510</v>
      </c>
      <c r="E37" s="112" t="s">
        <v>511</v>
      </c>
      <c r="F37" s="190"/>
    </row>
    <row r="38" spans="1:6">
      <c r="A38" s="191">
        <v>36</v>
      </c>
      <c r="B38" s="192" t="s">
        <v>447</v>
      </c>
      <c r="C38" s="52" t="s">
        <v>3</v>
      </c>
      <c r="D38" s="109" t="s">
        <v>512</v>
      </c>
      <c r="E38" s="110" t="s">
        <v>513</v>
      </c>
      <c r="F38" s="193"/>
    </row>
    <row r="39" spans="1:6">
      <c r="A39" s="188">
        <v>37</v>
      </c>
      <c r="B39" s="189" t="s">
        <v>447</v>
      </c>
      <c r="C39" s="51" t="s">
        <v>3</v>
      </c>
      <c r="D39" s="111" t="s">
        <v>514</v>
      </c>
      <c r="E39" s="112" t="s">
        <v>515</v>
      </c>
      <c r="F39" s="190"/>
    </row>
    <row r="40" spans="1:6">
      <c r="A40" s="191">
        <v>38</v>
      </c>
      <c r="B40" s="192" t="s">
        <v>447</v>
      </c>
      <c r="C40" s="52" t="s">
        <v>3</v>
      </c>
      <c r="D40" s="109" t="s">
        <v>516</v>
      </c>
      <c r="E40" s="110" t="s">
        <v>517</v>
      </c>
      <c r="F40" s="193"/>
    </row>
    <row r="41" spans="1:6">
      <c r="A41" s="188">
        <v>39</v>
      </c>
      <c r="B41" s="189" t="s">
        <v>518</v>
      </c>
      <c r="C41" s="51" t="s">
        <v>3</v>
      </c>
      <c r="D41" s="111" t="s">
        <v>519</v>
      </c>
      <c r="E41" s="112" t="s">
        <v>520</v>
      </c>
      <c r="F41" s="190"/>
    </row>
    <row r="42" spans="1:6">
      <c r="A42" s="194">
        <v>40</v>
      </c>
      <c r="B42" s="195" t="s">
        <v>518</v>
      </c>
      <c r="C42" s="122" t="s">
        <v>3</v>
      </c>
      <c r="D42" s="123" t="s">
        <v>521</v>
      </c>
      <c r="E42" s="124" t="s">
        <v>522</v>
      </c>
      <c r="F42" s="196"/>
    </row>
    <row r="43" spans="1:6">
      <c r="A43" s="288">
        <v>41</v>
      </c>
      <c r="B43" s="289" t="s">
        <v>447</v>
      </c>
      <c r="C43" s="290" t="s">
        <v>222</v>
      </c>
      <c r="D43" s="291" t="s">
        <v>523</v>
      </c>
      <c r="E43" s="292" t="s">
        <v>524</v>
      </c>
      <c r="F43" s="293"/>
    </row>
    <row r="44" spans="1:6">
      <c r="A44" s="191">
        <v>42</v>
      </c>
      <c r="B44" s="192" t="s">
        <v>447</v>
      </c>
      <c r="C44" s="52" t="s">
        <v>222</v>
      </c>
      <c r="D44" s="109" t="s">
        <v>525</v>
      </c>
      <c r="E44" s="110" t="s">
        <v>526</v>
      </c>
      <c r="F44" s="193"/>
    </row>
    <row r="45" spans="1:6">
      <c r="A45" s="188">
        <v>43</v>
      </c>
      <c r="B45" s="189" t="s">
        <v>447</v>
      </c>
      <c r="C45" s="51" t="s">
        <v>222</v>
      </c>
      <c r="D45" s="111" t="s">
        <v>527</v>
      </c>
      <c r="E45" s="112" t="s">
        <v>528</v>
      </c>
      <c r="F45" s="190"/>
    </row>
    <row r="46" spans="1:6">
      <c r="A46" s="191">
        <v>44</v>
      </c>
      <c r="B46" s="192" t="s">
        <v>518</v>
      </c>
      <c r="C46" s="52" t="s">
        <v>222</v>
      </c>
      <c r="D46" s="109" t="s">
        <v>529</v>
      </c>
      <c r="E46" s="110" t="s">
        <v>530</v>
      </c>
      <c r="F46" s="193"/>
    </row>
    <row r="47" spans="1:6">
      <c r="A47" s="201">
        <v>45</v>
      </c>
      <c r="B47" s="294" t="s">
        <v>518</v>
      </c>
      <c r="C47" s="295" t="s">
        <v>222</v>
      </c>
      <c r="D47" s="296" t="s">
        <v>531</v>
      </c>
      <c r="E47" s="297" t="s">
        <v>532</v>
      </c>
      <c r="F47" s="298"/>
    </row>
    <row r="50" spans="1:3">
      <c r="A50" s="133" t="s">
        <v>533</v>
      </c>
    </row>
    <row r="51" spans="1:3">
      <c r="A51" s="59" t="s">
        <v>441</v>
      </c>
      <c r="B51" s="197" t="s">
        <v>444</v>
      </c>
      <c r="C51" s="198" t="s">
        <v>445</v>
      </c>
    </row>
    <row r="52" spans="1:3">
      <c r="A52" s="188">
        <v>1</v>
      </c>
      <c r="B52" s="199" t="s">
        <v>448</v>
      </c>
      <c r="C52" s="200" t="s">
        <v>534</v>
      </c>
    </row>
    <row r="53" spans="1:3">
      <c r="A53" s="191">
        <v>2</v>
      </c>
      <c r="B53" s="53" t="s">
        <v>467</v>
      </c>
      <c r="C53" s="60" t="s">
        <v>535</v>
      </c>
    </row>
    <row r="54" spans="1:3">
      <c r="A54" s="201">
        <v>3</v>
      </c>
      <c r="B54" s="202" t="s">
        <v>455</v>
      </c>
      <c r="C54" s="203" t="s">
        <v>456</v>
      </c>
    </row>
    <row r="56" spans="1:3">
      <c r="A56" s="133" t="s">
        <v>536</v>
      </c>
    </row>
    <row r="57" spans="1:3">
      <c r="A57" s="59" t="s">
        <v>441</v>
      </c>
      <c r="B57" s="197" t="s">
        <v>444</v>
      </c>
      <c r="C57" s="198" t="s">
        <v>445</v>
      </c>
    </row>
    <row r="58" spans="1:3">
      <c r="A58" s="188">
        <v>1</v>
      </c>
      <c r="B58" s="199" t="s">
        <v>448</v>
      </c>
      <c r="C58" s="200" t="s">
        <v>537</v>
      </c>
    </row>
    <row r="59" spans="1:3">
      <c r="A59" s="191">
        <v>2</v>
      </c>
      <c r="B59" s="53" t="s">
        <v>538</v>
      </c>
      <c r="C59" s="60" t="s">
        <v>539</v>
      </c>
    </row>
    <row r="60" spans="1:3">
      <c r="A60" s="188">
        <v>3</v>
      </c>
      <c r="B60" s="199" t="s">
        <v>540</v>
      </c>
      <c r="C60" s="200" t="s">
        <v>541</v>
      </c>
    </row>
    <row r="61" spans="1:3">
      <c r="A61" s="194">
        <v>4</v>
      </c>
      <c r="B61" s="134" t="s">
        <v>476</v>
      </c>
      <c r="C61" s="135" t="s">
        <v>542</v>
      </c>
    </row>
  </sheetData>
  <sheetProtection algorithmName="SHA-512" hashValue="GyaMqRYzmL+cTdWz/zmCopL3xdoqFPqLrmDswtxJdvZ/ezCTVrCLBfG20fQbHXYmHVNKai6WrUbcwO0zGwUZsw==" saltValue="+C2ARmD3KdEvn7n2tR58gw==" spinCount="100000" sheet="1" objects="1" scenarios="1"/>
  <pageMargins left="0.7" right="0.7" top="0.75" bottom="0.75" header="0.3" footer="0.3"/>
  <pageSetup orientation="portrait" horizontalDpi="240" verticalDpi="24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57454-6E1B-4C38-B424-AEE55BD2DEFF}">
  <sheetPr>
    <tabColor theme="5" tint="0.59999389629810485"/>
  </sheetPr>
  <dimension ref="A1:G19"/>
  <sheetViews>
    <sheetView zoomScale="70" zoomScaleNormal="70" workbookViewId="0">
      <selection sqref="A1:G1"/>
    </sheetView>
  </sheetViews>
  <sheetFormatPr defaultColWidth="8.7109375" defaultRowHeight="14.45"/>
  <cols>
    <col min="1" max="1" width="28.85546875" style="651" customWidth="1"/>
    <col min="2" max="2" width="21.28515625" style="651" customWidth="1"/>
    <col min="3" max="3" width="35" style="651" customWidth="1"/>
    <col min="4" max="4" width="25.85546875" style="651" customWidth="1"/>
    <col min="5" max="5" width="15.5703125" style="651" customWidth="1"/>
    <col min="6" max="6" width="33.5703125" style="651" customWidth="1"/>
    <col min="7" max="7" width="70.5703125" style="651" customWidth="1"/>
    <col min="8" max="16384" width="8.7109375" style="651"/>
  </cols>
  <sheetData>
    <row r="1" spans="1:7" ht="71.099999999999994" customHeight="1">
      <c r="A1" s="925"/>
      <c r="B1" s="926"/>
      <c r="C1" s="926"/>
      <c r="D1" s="926"/>
      <c r="E1" s="926"/>
      <c r="F1" s="926"/>
      <c r="G1" s="927"/>
    </row>
    <row r="2" spans="1:7" ht="30" customHeight="1" thickBot="1">
      <c r="A2" s="928" t="s">
        <v>543</v>
      </c>
      <c r="B2" s="929"/>
      <c r="C2" s="929"/>
      <c r="D2" s="652"/>
      <c r="E2" s="930"/>
      <c r="F2" s="930"/>
      <c r="G2" s="931"/>
    </row>
    <row r="3" spans="1:7" s="653" customFormat="1" ht="27.75" customHeight="1">
      <c r="A3" s="932" t="s">
        <v>544</v>
      </c>
      <c r="B3" s="933"/>
      <c r="C3" s="933"/>
      <c r="D3" s="933"/>
      <c r="E3" s="933"/>
      <c r="F3" s="933"/>
      <c r="G3" s="934"/>
    </row>
    <row r="4" spans="1:7" s="653" customFormat="1" ht="18" customHeight="1">
      <c r="A4" s="935" t="s">
        <v>545</v>
      </c>
      <c r="B4" s="936"/>
      <c r="C4" s="936"/>
      <c r="D4" s="936"/>
      <c r="E4" s="936"/>
      <c r="F4" s="936"/>
      <c r="G4" s="937"/>
    </row>
    <row r="5" spans="1:7" s="653" customFormat="1" ht="18" customHeight="1">
      <c r="A5" s="922" t="s">
        <v>546</v>
      </c>
      <c r="B5" s="923"/>
      <c r="C5" s="923"/>
      <c r="D5" s="923"/>
      <c r="E5" s="923"/>
      <c r="F5" s="923"/>
      <c r="G5" s="924"/>
    </row>
    <row r="6" spans="1:7" s="653" customFormat="1" ht="18" customHeight="1">
      <c r="A6" s="922" t="s">
        <v>547</v>
      </c>
      <c r="B6" s="923"/>
      <c r="C6" s="923"/>
      <c r="D6" s="923"/>
      <c r="E6" s="923"/>
      <c r="F6" s="923"/>
      <c r="G6" s="924"/>
    </row>
    <row r="7" spans="1:7" s="653" customFormat="1" ht="18" customHeight="1">
      <c r="A7" s="922" t="s">
        <v>548</v>
      </c>
      <c r="B7" s="923"/>
      <c r="C7" s="923"/>
      <c r="D7" s="923"/>
      <c r="E7" s="923"/>
      <c r="F7" s="923"/>
      <c r="G7" s="924"/>
    </row>
    <row r="8" spans="1:7" s="653" customFormat="1" ht="27.75" customHeight="1">
      <c r="A8" s="938" t="s">
        <v>549</v>
      </c>
      <c r="B8" s="939"/>
      <c r="C8" s="939"/>
      <c r="D8" s="939"/>
      <c r="E8" s="939"/>
      <c r="F8" s="939"/>
      <c r="G8" s="940"/>
    </row>
    <row r="9" spans="1:7" s="653" customFormat="1" ht="21.75" customHeight="1">
      <c r="A9" s="935" t="s">
        <v>550</v>
      </c>
      <c r="B9" s="936"/>
      <c r="C9" s="936"/>
      <c r="D9" s="936"/>
      <c r="E9" s="936"/>
      <c r="F9" s="936"/>
      <c r="G9" s="937"/>
    </row>
    <row r="10" spans="1:7" s="653" customFormat="1" ht="18" customHeight="1">
      <c r="A10" s="922" t="s">
        <v>551</v>
      </c>
      <c r="B10" s="923"/>
      <c r="C10" s="923"/>
      <c r="D10" s="923"/>
      <c r="E10" s="923"/>
      <c r="F10" s="923"/>
      <c r="G10" s="924"/>
    </row>
    <row r="11" spans="1:7" s="653" customFormat="1" ht="18" customHeight="1">
      <c r="A11" s="922" t="s">
        <v>552</v>
      </c>
      <c r="B11" s="923"/>
      <c r="C11" s="923"/>
      <c r="D11" s="923"/>
      <c r="E11" s="923"/>
      <c r="F11" s="923"/>
      <c r="G11" s="924"/>
    </row>
    <row r="12" spans="1:7" s="653" customFormat="1" ht="18" customHeight="1">
      <c r="A12" s="922" t="s">
        <v>553</v>
      </c>
      <c r="B12" s="923"/>
      <c r="C12" s="923"/>
      <c r="D12" s="923"/>
      <c r="E12" s="923"/>
      <c r="F12" s="923"/>
      <c r="G12" s="924"/>
    </row>
    <row r="13" spans="1:7" s="653" customFormat="1" ht="18" customHeight="1">
      <c r="A13" s="922" t="s">
        <v>554</v>
      </c>
      <c r="B13" s="923"/>
      <c r="C13" s="923"/>
      <c r="D13" s="923"/>
      <c r="E13" s="923"/>
      <c r="F13" s="923"/>
      <c r="G13" s="924"/>
    </row>
    <row r="14" spans="1:7" s="653" customFormat="1" ht="18" customHeight="1">
      <c r="A14" s="922" t="s">
        <v>555</v>
      </c>
      <c r="B14" s="923"/>
      <c r="C14" s="923"/>
      <c r="D14" s="923"/>
      <c r="E14" s="923"/>
      <c r="F14" s="923"/>
      <c r="G14" s="924"/>
    </row>
    <row r="15" spans="1:7" s="653" customFormat="1" ht="18" customHeight="1">
      <c r="A15" s="922" t="s">
        <v>556</v>
      </c>
      <c r="B15" s="923"/>
      <c r="C15" s="923"/>
      <c r="D15" s="923"/>
      <c r="E15" s="923"/>
      <c r="F15" s="923"/>
      <c r="G15" s="924"/>
    </row>
    <row r="16" spans="1:7" s="653" customFormat="1" ht="18" customHeight="1">
      <c r="A16" s="922" t="s">
        <v>557</v>
      </c>
      <c r="B16" s="923"/>
      <c r="C16" s="923"/>
      <c r="D16" s="923"/>
      <c r="E16" s="923"/>
      <c r="F16" s="923"/>
      <c r="G16" s="924"/>
    </row>
    <row r="17" spans="1:7" s="653" customFormat="1" ht="27.75" customHeight="1">
      <c r="A17" s="941" t="s">
        <v>558</v>
      </c>
      <c r="B17" s="942"/>
      <c r="C17" s="942"/>
      <c r="D17" s="942"/>
      <c r="E17" s="942"/>
      <c r="F17" s="942"/>
      <c r="G17" s="943"/>
    </row>
    <row r="18" spans="1:7" s="653" customFormat="1" ht="27.75" customHeight="1">
      <c r="A18" s="941" t="s">
        <v>559</v>
      </c>
      <c r="B18" s="942"/>
      <c r="C18" s="942"/>
      <c r="D18" s="942"/>
      <c r="E18" s="942"/>
      <c r="F18" s="942"/>
      <c r="G18" s="943"/>
    </row>
    <row r="19" spans="1:7" s="653" customFormat="1" ht="43.5" customHeight="1" thickBot="1">
      <c r="A19" s="944" t="s">
        <v>560</v>
      </c>
      <c r="B19" s="945"/>
      <c r="C19" s="945"/>
      <c r="D19" s="945"/>
      <c r="E19" s="945"/>
      <c r="F19" s="945"/>
      <c r="G19" s="946"/>
    </row>
  </sheetData>
  <sheetProtection algorithmName="SHA-512" hashValue="jb7Z3wfd8NQtzIYrAZGkRHoGDH2MNjhOVDDgHkm0wgS2zeFQ1ddniYynwii+8M59xNvvM53ND0Dnlb9wWdDyzA==" saltValue="azN/qFrGiTFKzWjx1JSaBw==" spinCount="100000" sheet="1" objects="1" scenarios="1"/>
  <mergeCells count="20">
    <mergeCell ref="A18:G18"/>
    <mergeCell ref="A19:G19"/>
    <mergeCell ref="A12:G12"/>
    <mergeCell ref="A13:G13"/>
    <mergeCell ref="A14:G14"/>
    <mergeCell ref="A15:G15"/>
    <mergeCell ref="A16:G16"/>
    <mergeCell ref="A17:G17"/>
    <mergeCell ref="A11:G11"/>
    <mergeCell ref="A1:G1"/>
    <mergeCell ref="A2:C2"/>
    <mergeCell ref="E2:G2"/>
    <mergeCell ref="A3:G3"/>
    <mergeCell ref="A4:G4"/>
    <mergeCell ref="A5:G5"/>
    <mergeCell ref="A6:G6"/>
    <mergeCell ref="A7:G7"/>
    <mergeCell ref="A8:G8"/>
    <mergeCell ref="A9:G9"/>
    <mergeCell ref="A10:G10"/>
  </mergeCells>
  <hyperlinks>
    <hyperlink ref="A8" location="'Service-based'!A1" display="2. For customers using service-based licensing (old licensing), pricing should also be calculated on this page." xr:uid="{C2C7F2E1-8430-4E59-BEA2-3ED1A6016AFE}"/>
    <hyperlink ref="A3" location="'Solution-based'!A1" display="1. For customers using solution-based licensing (new licensing, implemented in version C25.08), pricing should be calculated on this page." xr:uid="{43656FF1-B85E-459F-930C-7091D9C0DC2B}"/>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83f55c46-7319-4641-9b3e-66a0310294d3" xsi:nil="true"/>
    <SGNotes xmlns="83f55c46-7319-4641-9b3e-66a0310294d3" xsi:nil="true"/>
    <TaxCatchAll xmlns="0cfad9d4-c105-4c4e-9860-ce7736075d39" xsi:nil="true"/>
    <lcf76f155ced4ddcb4097134ff3c332f xmlns="83f55c46-7319-4641-9b3e-66a0310294d3">
      <Terms xmlns="http://schemas.microsoft.com/office/infopath/2007/PartnerControls"/>
    </lcf76f155ced4ddcb4097134ff3c332f>
    <ADN xmlns="83f55c46-7319-4641-9b3e-66a0310294d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7635FB358264646B1172502D9C3BBFF" ma:contentTypeVersion="19" ma:contentTypeDescription="Create a new document." ma:contentTypeScope="" ma:versionID="83d5c5210382c35b20bde8fa448f6327">
  <xsd:schema xmlns:xsd="http://www.w3.org/2001/XMLSchema" xmlns:xs="http://www.w3.org/2001/XMLSchema" xmlns:p="http://schemas.microsoft.com/office/2006/metadata/properties" xmlns:ns2="83f55c46-7319-4641-9b3e-66a0310294d3" xmlns:ns3="0cfad9d4-c105-4c4e-9860-ce7736075d39" targetNamespace="http://schemas.microsoft.com/office/2006/metadata/properties" ma:root="true" ma:fieldsID="7ee83a87ec7407be4e5a3a65ede4e5c0" ns2:_="" ns3:_="">
    <xsd:import namespace="83f55c46-7319-4641-9b3e-66a0310294d3"/>
    <xsd:import namespace="0cfad9d4-c105-4c4e-9860-ce7736075d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_Flow_SignoffStatus" minOccurs="0"/>
                <xsd:element ref="ns2:MediaServiceDateTaken" minOccurs="0"/>
                <xsd:element ref="ns2:SGNotes" minOccurs="0"/>
                <xsd:element ref="ns2:MediaServiceSearchProperties" minOccurs="0"/>
                <xsd:element ref="ns2:MediaServiceLocation" minOccurs="0"/>
                <xsd:element ref="ns2:AD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55c46-7319-4641-9b3e-66a031029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b1518fd-bf57-4104-805d-81250a73c3d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Flow_SignoffStatus" ma:index="20" nillable="true" ma:displayName="Sign-off status" ma:internalName="Sign_x002d_off_x0020_status">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SGNotes" ma:index="22" nillable="true" ma:displayName="SG Notes" ma:description="Notes/information from Seán Gillings" ma:format="Dropdown" ma:internalName="SGNotes">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element name="ADN" ma:index="25" nillable="true" ma:displayName="ADN" ma:format="Dropdown" ma:internalName="ADN">
      <xsd:simpleType>
        <xsd:restriction base="dms:Text">
          <xsd:maxLength value="255"/>
        </xsd:restriction>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fad9d4-c105-4c4e-9860-ce7736075d3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f5e9d47-22d5-4f2d-acfb-8a69fba1b513}" ma:internalName="TaxCatchAll" ma:showField="CatchAllData" ma:web="0cfad9d4-c105-4c4e-9860-ce7736075d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095186-B66A-4167-892C-A458C947A375}"/>
</file>

<file path=customXml/itemProps2.xml><?xml version="1.0" encoding="utf-8"?>
<ds:datastoreItem xmlns:ds="http://schemas.openxmlformats.org/officeDocument/2006/customXml" ds:itemID="{7A2E0435-7E6B-423E-9A86-E5DCB8135A32}"/>
</file>

<file path=customXml/itemProps3.xml><?xml version="1.0" encoding="utf-8"?>
<ds:datastoreItem xmlns:ds="http://schemas.openxmlformats.org/officeDocument/2006/customXml" ds:itemID="{3771AD95-59DA-4E1A-A197-0262BA2EF51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Renat Kuramshin</dc:creator>
  <cp:keywords/>
  <dc:description/>
  <cp:lastModifiedBy>Sam Abbaspour</cp:lastModifiedBy>
  <cp:revision/>
  <dcterms:created xsi:type="dcterms:W3CDTF">2021-01-09T14:20:48Z</dcterms:created>
  <dcterms:modified xsi:type="dcterms:W3CDTF">2025-07-14T04:08:22Z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0x010100C7635FB358264646B1172502D9C3BBFF</vt:lpwstr>
  </property>
  <property fmtid="{D5CDD505-2E9C-101B-9397-08002B2CF9AE}" pid="3" name="MediaServiceImageTags">
    <vt:lpwstr/>
  </property>
</Properties>
</file>